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ate1904="1"/>
  <mc:AlternateContent xmlns:mc="http://schemas.openxmlformats.org/markup-compatibility/2006">
    <mc:Choice Requires="x15">
      <x15ac:absPath xmlns:x15ac="http://schemas.microsoft.com/office/spreadsheetml/2010/11/ac" url="H:\IR Staff\Fact Book\Fact Book Pages 2024-25\__Ready to Post\"/>
    </mc:Choice>
  </mc:AlternateContent>
  <xr:revisionPtr revIDLastSave="0" documentId="13_ncr:1_{6A521BC5-5935-41C1-8831-31F6FED5F972}" xr6:coauthVersionLast="47" xr6:coauthVersionMax="47" xr10:uidLastSave="{00000000-0000-0000-0000-000000000000}"/>
  <bookViews>
    <workbookView xWindow="35415" yWindow="210" windowWidth="22140" windowHeight="16995" xr2:uid="{00000000-000D-0000-FFFF-FFFF00000000}"/>
  </bookViews>
  <sheets>
    <sheet name="Average Section Size " sheetId="1" r:id="rId1"/>
    <sheet name="Ave Section Calc " sheetId="2" state="hidden" r:id="rId2"/>
    <sheet name="Data for UG graph" sheetId="6" state="hidden" r:id="rId3"/>
    <sheet name="Data for Grad Graph" sheetId="7" state="hidden" r:id="rId4"/>
    <sheet name="Keep1" sheetId="3" state="hidden" r:id="rId5"/>
    <sheet name="Keep2" sheetId="4" state="hidden" r:id="rId6"/>
    <sheet name="Keep3" sheetId="5" state="hidden" r:id="rId7"/>
  </sheets>
  <definedNames>
    <definedName name="_xlnm.Print_Area" localSheetId="1">'Ave Section Calc '!$B$1:$K$551</definedName>
    <definedName name="_xlnm.Print_Area" localSheetId="0">'Average Section Size '!$A$1:$BR$92</definedName>
    <definedName name="_xlnm.Print_Area" localSheetId="2">'Data for UG graph'!$A$2:$DG$11</definedName>
    <definedName name="_xlnm.Print_Area" localSheetId="4">Keep1!$A$1:$AF$40</definedName>
    <definedName name="_xlnm.Print_Area" localSheetId="5">Keep2!$A$1:$AF$12</definedName>
    <definedName name="_xlnm.Print_Area" localSheetId="6">Keep3!$A$2:$AQ$13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2" l="1"/>
  <c r="I27" i="2" s="1"/>
  <c r="I25" i="2"/>
  <c r="C10" i="2" s="1"/>
  <c r="I10" i="2" s="1"/>
  <c r="I21" i="2"/>
  <c r="D23" i="2"/>
  <c r="J23" i="2" s="1"/>
  <c r="C23" i="2"/>
  <c r="I23" i="2" s="1"/>
  <c r="G12" i="2"/>
  <c r="F12" i="2"/>
  <c r="C12" i="2"/>
  <c r="G27" i="2"/>
  <c r="F27" i="2"/>
  <c r="J25" i="2"/>
  <c r="D10" i="2" s="1"/>
  <c r="J10" i="2" s="1"/>
  <c r="H25" i="2"/>
  <c r="E25" i="2"/>
  <c r="H23" i="2"/>
  <c r="J22" i="2"/>
  <c r="I22" i="2"/>
  <c r="H22" i="2"/>
  <c r="E22" i="2"/>
  <c r="J21" i="2"/>
  <c r="J6" i="2" s="1"/>
  <c r="H21" i="2"/>
  <c r="E21" i="2"/>
  <c r="J20" i="2"/>
  <c r="J5" i="2" s="1"/>
  <c r="I20" i="2"/>
  <c r="H20" i="2"/>
  <c r="E20" i="2"/>
  <c r="J19" i="2"/>
  <c r="I19" i="2"/>
  <c r="H19" i="2"/>
  <c r="E19" i="2"/>
  <c r="J18" i="2"/>
  <c r="I18" i="2"/>
  <c r="H18" i="2"/>
  <c r="E18" i="2"/>
  <c r="H10" i="2"/>
  <c r="J8" i="2"/>
  <c r="H8" i="2"/>
  <c r="I8" i="2"/>
  <c r="J7" i="2"/>
  <c r="I7" i="2"/>
  <c r="H7" i="2"/>
  <c r="E7" i="2"/>
  <c r="H6" i="2"/>
  <c r="I5" i="2"/>
  <c r="J4" i="2"/>
  <c r="I4" i="2"/>
  <c r="H4" i="2"/>
  <c r="E4" i="2"/>
  <c r="H3" i="2"/>
  <c r="J3" i="2"/>
  <c r="K4" i="2" l="1"/>
  <c r="K8" i="2"/>
  <c r="D27" i="2"/>
  <c r="K20" i="2"/>
  <c r="J27" i="2"/>
  <c r="K22" i="2"/>
  <c r="K19" i="2"/>
  <c r="E23" i="2"/>
  <c r="K23" i="2"/>
  <c r="K5" i="2"/>
  <c r="K7" i="2"/>
  <c r="E3" i="2"/>
  <c r="I3" i="2"/>
  <c r="K3" i="2" s="1"/>
  <c r="I12" i="2"/>
  <c r="E6" i="2"/>
  <c r="I6" i="2"/>
  <c r="K6" i="2" s="1"/>
  <c r="K10" i="2"/>
  <c r="E5" i="2"/>
  <c r="K25" i="2"/>
  <c r="D12" i="2"/>
  <c r="J12" i="2" s="1"/>
  <c r="K21" i="2"/>
  <c r="H5" i="2"/>
  <c r="K18" i="2"/>
  <c r="E10" i="2"/>
  <c r="E8" i="2"/>
  <c r="Q6" i="7"/>
  <c r="P6" i="7"/>
  <c r="O6" i="7"/>
  <c r="AW6" i="7"/>
  <c r="AF6" i="7"/>
  <c r="AG6" i="7"/>
  <c r="AE6" i="7"/>
  <c r="AV6" i="7"/>
  <c r="AU6" i="7"/>
  <c r="BM6" i="7"/>
  <c r="BL6" i="7"/>
  <c r="BK6" i="7"/>
  <c r="CC6" i="7"/>
  <c r="CB6" i="7"/>
  <c r="CA6" i="7"/>
  <c r="CS6" i="7"/>
  <c r="CQ6" i="7"/>
  <c r="CR6" i="7"/>
  <c r="CH5" i="6" l="1"/>
  <c r="CY5" i="6"/>
  <c r="CX5" i="6"/>
  <c r="CG5" i="6"/>
  <c r="CF5" i="6"/>
  <c r="BQ5" i="6"/>
  <c r="BP5" i="6"/>
  <c r="BO5" i="6"/>
  <c r="AZ5" i="6"/>
  <c r="AY5" i="6"/>
  <c r="AI5" i="6"/>
  <c r="AH5" i="6"/>
  <c r="R5" i="6"/>
  <c r="DL5" i="6"/>
  <c r="AG5" i="6"/>
  <c r="AF5" i="6"/>
  <c r="AD5" i="6"/>
  <c r="AE5" i="6"/>
  <c r="AC5" i="6"/>
  <c r="AB5" i="6"/>
  <c r="AA5" i="6"/>
  <c r="Z5" i="6"/>
  <c r="Y5" i="6"/>
  <c r="X5" i="6"/>
  <c r="Q5" i="6"/>
  <c r="G5" i="6"/>
  <c r="H5" i="6"/>
  <c r="I5" i="6"/>
  <c r="J5" i="6"/>
  <c r="K5" i="6"/>
  <c r="L5" i="6"/>
  <c r="M5" i="6"/>
  <c r="N5" i="6"/>
  <c r="O5" i="6"/>
  <c r="P5" i="6"/>
  <c r="CW5" i="6" l="1"/>
  <c r="AX5" i="6"/>
  <c r="J56" i="2" l="1"/>
  <c r="D41" i="2" s="1"/>
  <c r="J41" i="2" s="1"/>
  <c r="H56" i="2"/>
  <c r="I56" i="2"/>
  <c r="J54" i="2"/>
  <c r="D39" i="2" s="1"/>
  <c r="J39" i="2" s="1"/>
  <c r="I54" i="2"/>
  <c r="H54" i="2"/>
  <c r="E54" i="2"/>
  <c r="J53" i="2"/>
  <c r="D38" i="2" s="1"/>
  <c r="J38" i="2" s="1"/>
  <c r="I53" i="2"/>
  <c r="C38" i="2" s="1"/>
  <c r="H53" i="2"/>
  <c r="E53" i="2"/>
  <c r="J52" i="2"/>
  <c r="I52" i="2"/>
  <c r="C37" i="2" s="1"/>
  <c r="I37" i="2" s="1"/>
  <c r="H52" i="2"/>
  <c r="E52" i="2"/>
  <c r="J51" i="2"/>
  <c r="D36" i="2" s="1"/>
  <c r="J36" i="2" s="1"/>
  <c r="I51" i="2"/>
  <c r="C36" i="2" s="1"/>
  <c r="H51" i="2"/>
  <c r="E51" i="2"/>
  <c r="J50" i="2"/>
  <c r="D35" i="2" s="1"/>
  <c r="J35" i="2" s="1"/>
  <c r="I50" i="2"/>
  <c r="H50" i="2"/>
  <c r="E50" i="2"/>
  <c r="J49" i="2"/>
  <c r="D34" i="2" s="1"/>
  <c r="I49" i="2"/>
  <c r="C34" i="2" s="1"/>
  <c r="G58" i="2"/>
  <c r="H49" i="2"/>
  <c r="D58" i="2"/>
  <c r="E49" i="2"/>
  <c r="H41" i="2"/>
  <c r="H39" i="2"/>
  <c r="H38" i="2"/>
  <c r="H37" i="2"/>
  <c r="G36" i="2"/>
  <c r="H36" i="2" s="1"/>
  <c r="H35" i="2"/>
  <c r="G43" i="2"/>
  <c r="F43" i="2"/>
  <c r="K52" i="2" l="1"/>
  <c r="K54" i="2"/>
  <c r="K50" i="2"/>
  <c r="C39" i="2"/>
  <c r="I39" i="2" s="1"/>
  <c r="K39" i="2" s="1"/>
  <c r="C35" i="2"/>
  <c r="J34" i="2"/>
  <c r="E34" i="2"/>
  <c r="C43" i="2"/>
  <c r="I43" i="2" s="1"/>
  <c r="I34" i="2"/>
  <c r="I36" i="2"/>
  <c r="K36" i="2" s="1"/>
  <c r="E36" i="2"/>
  <c r="C41" i="2"/>
  <c r="K56" i="2"/>
  <c r="E39" i="2"/>
  <c r="J58" i="2"/>
  <c r="I38" i="2"/>
  <c r="K38" i="2" s="1"/>
  <c r="E38" i="2"/>
  <c r="D37" i="2"/>
  <c r="J37" i="2" s="1"/>
  <c r="K37" i="2" s="1"/>
  <c r="H34" i="2"/>
  <c r="K53" i="2"/>
  <c r="C58" i="2"/>
  <c r="K49" i="2"/>
  <c r="K51" i="2"/>
  <c r="F58" i="2"/>
  <c r="E56" i="2"/>
  <c r="CP6" i="7"/>
  <c r="BZ6" i="7"/>
  <c r="BJ6" i="7"/>
  <c r="AT6" i="7"/>
  <c r="AD6" i="7"/>
  <c r="N6" i="7"/>
  <c r="CU5" i="6"/>
  <c r="CV5" i="6"/>
  <c r="CE5" i="6"/>
  <c r="BN5" i="6"/>
  <c r="AW5" i="6"/>
  <c r="G72" i="2"/>
  <c r="H72" i="2" s="1"/>
  <c r="F72" i="2"/>
  <c r="G70" i="2"/>
  <c r="F70" i="2"/>
  <c r="G69" i="2"/>
  <c r="F69" i="2"/>
  <c r="G68" i="2"/>
  <c r="F68" i="2"/>
  <c r="G67" i="2"/>
  <c r="F67" i="2"/>
  <c r="G66" i="2"/>
  <c r="F66" i="2"/>
  <c r="G65" i="2"/>
  <c r="F65" i="2"/>
  <c r="C87" i="2"/>
  <c r="I87" i="2" s="1"/>
  <c r="C72" i="2" s="1"/>
  <c r="G85" i="2"/>
  <c r="F85" i="2"/>
  <c r="D85" i="2"/>
  <c r="C85" i="2"/>
  <c r="I85" i="2" s="1"/>
  <c r="C70" i="2" s="1"/>
  <c r="G84" i="2"/>
  <c r="F84" i="2"/>
  <c r="D84" i="2"/>
  <c r="C84" i="2"/>
  <c r="G80" i="2"/>
  <c r="F80" i="2"/>
  <c r="D80" i="2"/>
  <c r="C80" i="2"/>
  <c r="J87" i="2"/>
  <c r="D72" i="2" s="1"/>
  <c r="H87" i="2"/>
  <c r="J83" i="2"/>
  <c r="D68" i="2" s="1"/>
  <c r="I83" i="2"/>
  <c r="C68" i="2" s="1"/>
  <c r="E68" i="2" s="1"/>
  <c r="H83" i="2"/>
  <c r="E83" i="2"/>
  <c r="J82" i="2"/>
  <c r="D67" i="2" s="1"/>
  <c r="I82" i="2"/>
  <c r="K82" i="2" s="1"/>
  <c r="H82" i="2"/>
  <c r="E82" i="2"/>
  <c r="J81" i="2"/>
  <c r="D66" i="2" s="1"/>
  <c r="I81" i="2"/>
  <c r="C66" i="2" s="1"/>
  <c r="H81" i="2"/>
  <c r="E81" i="2"/>
  <c r="H69" i="2"/>
  <c r="E87" i="2" l="1"/>
  <c r="H67" i="2"/>
  <c r="J67" i="2"/>
  <c r="I68" i="2"/>
  <c r="J84" i="2"/>
  <c r="D69" i="2" s="1"/>
  <c r="J69" i="2" s="1"/>
  <c r="D89" i="2"/>
  <c r="J68" i="2"/>
  <c r="K68" i="2" s="1"/>
  <c r="E66" i="2"/>
  <c r="J80" i="2"/>
  <c r="D65" i="2" s="1"/>
  <c r="J65" i="2" s="1"/>
  <c r="H85" i="2"/>
  <c r="C67" i="2"/>
  <c r="K87" i="2"/>
  <c r="I66" i="2"/>
  <c r="K34" i="2"/>
  <c r="I35" i="2"/>
  <c r="K35" i="2" s="1"/>
  <c r="E35" i="2"/>
  <c r="I41" i="2"/>
  <c r="K41" i="2" s="1"/>
  <c r="E41" i="2"/>
  <c r="E37" i="2"/>
  <c r="I58" i="2"/>
  <c r="D43" i="2"/>
  <c r="J43" i="2" s="1"/>
  <c r="J72" i="2"/>
  <c r="I72" i="2"/>
  <c r="H70" i="2"/>
  <c r="I70" i="2"/>
  <c r="G74" i="2"/>
  <c r="H68" i="2"/>
  <c r="H66" i="2"/>
  <c r="H65" i="2"/>
  <c r="J66" i="2"/>
  <c r="K66" i="2" s="1"/>
  <c r="H84" i="2"/>
  <c r="E84" i="2"/>
  <c r="I84" i="2"/>
  <c r="K83" i="2"/>
  <c r="K81" i="2"/>
  <c r="H80" i="2"/>
  <c r="G89" i="2"/>
  <c r="E80" i="2"/>
  <c r="F74" i="2"/>
  <c r="I80" i="2"/>
  <c r="J85" i="2"/>
  <c r="E72" i="2"/>
  <c r="C89" i="2"/>
  <c r="E85" i="2"/>
  <c r="F89" i="2"/>
  <c r="I67" i="2" l="1"/>
  <c r="K67" i="2" s="1"/>
  <c r="E67" i="2"/>
  <c r="K84" i="2"/>
  <c r="C69" i="2"/>
  <c r="K72" i="2"/>
  <c r="K85" i="2"/>
  <c r="D70" i="2"/>
  <c r="K80" i="2"/>
  <c r="C65" i="2"/>
  <c r="J89" i="2"/>
  <c r="I89" i="2"/>
  <c r="G101" i="2"/>
  <c r="F101" i="2"/>
  <c r="D101" i="2"/>
  <c r="C101" i="2"/>
  <c r="G116" i="2"/>
  <c r="F116" i="2"/>
  <c r="D116" i="2"/>
  <c r="C116" i="2"/>
  <c r="C74" i="2" l="1"/>
  <c r="I74" i="2" s="1"/>
  <c r="E65" i="2"/>
  <c r="I65" i="2"/>
  <c r="K65" i="2" s="1"/>
  <c r="I69" i="2"/>
  <c r="K69" i="2" s="1"/>
  <c r="E69" i="2"/>
  <c r="E70" i="2"/>
  <c r="J70" i="2"/>
  <c r="K70" i="2" s="1"/>
  <c r="D74" i="2"/>
  <c r="J74" i="2" s="1"/>
  <c r="C103" i="2"/>
  <c r="D118" i="2"/>
  <c r="C118" i="2"/>
  <c r="F100" i="2"/>
  <c r="D100" i="2"/>
  <c r="C100" i="2"/>
  <c r="F115" i="2"/>
  <c r="C115" i="2"/>
  <c r="F96" i="2"/>
  <c r="D96" i="2"/>
  <c r="C96" i="2"/>
  <c r="F111" i="2"/>
  <c r="C111" i="2"/>
  <c r="G120" i="2" l="1"/>
  <c r="F120" i="2"/>
  <c r="D120" i="2"/>
  <c r="C120" i="2"/>
  <c r="J118" i="2"/>
  <c r="I118" i="2"/>
  <c r="H118" i="2"/>
  <c r="E118" i="2"/>
  <c r="J116" i="2"/>
  <c r="I116" i="2"/>
  <c r="H116" i="2"/>
  <c r="E116" i="2"/>
  <c r="J115" i="2"/>
  <c r="I115" i="2"/>
  <c r="H115" i="2"/>
  <c r="E115" i="2"/>
  <c r="J114" i="2"/>
  <c r="I114" i="2"/>
  <c r="H114" i="2"/>
  <c r="E114" i="2"/>
  <c r="J113" i="2"/>
  <c r="I113" i="2"/>
  <c r="H113" i="2"/>
  <c r="E113" i="2"/>
  <c r="J112" i="2"/>
  <c r="I112" i="2"/>
  <c r="H112" i="2"/>
  <c r="E112" i="2"/>
  <c r="J111" i="2"/>
  <c r="I111" i="2"/>
  <c r="H111" i="2"/>
  <c r="E111" i="2"/>
  <c r="G105" i="2"/>
  <c r="F105" i="2"/>
  <c r="D105" i="2"/>
  <c r="C105" i="2"/>
  <c r="J103" i="2"/>
  <c r="I103" i="2"/>
  <c r="H103" i="2"/>
  <c r="E103" i="2"/>
  <c r="J101" i="2"/>
  <c r="I101" i="2"/>
  <c r="H101" i="2"/>
  <c r="E101" i="2"/>
  <c r="J100" i="2"/>
  <c r="I100" i="2"/>
  <c r="H100" i="2"/>
  <c r="E100" i="2"/>
  <c r="J99" i="2"/>
  <c r="I99" i="2"/>
  <c r="H99" i="2"/>
  <c r="E99" i="2"/>
  <c r="J98" i="2"/>
  <c r="I98" i="2"/>
  <c r="H98" i="2"/>
  <c r="E98" i="2"/>
  <c r="J97" i="2"/>
  <c r="I97" i="2"/>
  <c r="H97" i="2"/>
  <c r="E97" i="2"/>
  <c r="J96" i="2"/>
  <c r="I96" i="2"/>
  <c r="H96" i="2"/>
  <c r="E96" i="2"/>
  <c r="K114" i="2" l="1"/>
  <c r="K97" i="2"/>
  <c r="K118" i="2"/>
  <c r="K103" i="2"/>
  <c r="I120" i="2"/>
  <c r="K115" i="2"/>
  <c r="J120" i="2"/>
  <c r="K113" i="2"/>
  <c r="K111" i="2"/>
  <c r="K116" i="2"/>
  <c r="K112" i="2"/>
  <c r="K98" i="2"/>
  <c r="K101" i="2"/>
  <c r="I105" i="2"/>
  <c r="J105" i="2"/>
  <c r="K96" i="2"/>
  <c r="K99" i="2"/>
  <c r="K100" i="2"/>
  <c r="CO6" i="7"/>
  <c r="BY6" i="7"/>
  <c r="BI6" i="7"/>
  <c r="AS6" i="7"/>
  <c r="AC6" i="7"/>
  <c r="M6" i="7"/>
  <c r="G6" i="7" l="1"/>
  <c r="H6" i="7"/>
  <c r="I6" i="7"/>
  <c r="J6" i="7"/>
  <c r="K6" i="7"/>
  <c r="L6" i="7"/>
  <c r="W6" i="7"/>
  <c r="X6" i="7"/>
  <c r="Y6" i="7"/>
  <c r="Z6" i="7"/>
  <c r="AA6" i="7"/>
  <c r="AB6" i="7"/>
  <c r="AM6" i="7"/>
  <c r="AN6" i="7"/>
  <c r="AO6" i="7"/>
  <c r="AP6" i="7"/>
  <c r="AQ6" i="7"/>
  <c r="AR6" i="7"/>
  <c r="BC6" i="7"/>
  <c r="BD6" i="7"/>
  <c r="BE6" i="7"/>
  <c r="BF6" i="7"/>
  <c r="BG6" i="7"/>
  <c r="BH6" i="7"/>
  <c r="BS6" i="7"/>
  <c r="BT6" i="7"/>
  <c r="BU6" i="7"/>
  <c r="BV6" i="7"/>
  <c r="BW6" i="7"/>
  <c r="BX6" i="7"/>
  <c r="CI6" i="7"/>
  <c r="CJ6" i="7"/>
  <c r="CK6" i="7"/>
  <c r="CL6" i="7"/>
  <c r="CM6" i="7"/>
  <c r="CN6" i="7"/>
  <c r="CH6" i="7"/>
  <c r="BR6" i="7"/>
  <c r="BB6" i="7"/>
  <c r="AL6" i="7"/>
  <c r="V6" i="7"/>
  <c r="F6" i="7"/>
  <c r="DF5" i="6" l="1"/>
  <c r="DG5" i="6"/>
  <c r="DH5" i="6"/>
  <c r="DI5" i="6"/>
  <c r="DJ5" i="6"/>
  <c r="DK5" i="6"/>
  <c r="CO5" i="6"/>
  <c r="CP5" i="6"/>
  <c r="CQ5" i="6"/>
  <c r="CR5" i="6"/>
  <c r="CS5" i="6"/>
  <c r="CT5" i="6"/>
  <c r="BX5" i="6"/>
  <c r="BY5" i="6"/>
  <c r="BZ5" i="6"/>
  <c r="CA5" i="6"/>
  <c r="CB5" i="6"/>
  <c r="CC5" i="6"/>
  <c r="CD5" i="6"/>
  <c r="BG5" i="6"/>
  <c r="BH5" i="6"/>
  <c r="BI5" i="6"/>
  <c r="BJ5" i="6"/>
  <c r="BK5" i="6"/>
  <c r="BL5" i="6"/>
  <c r="BM5" i="6"/>
  <c r="AP5" i="6"/>
  <c r="AQ5" i="6"/>
  <c r="AR5" i="6"/>
  <c r="AS5" i="6"/>
  <c r="AT5" i="6"/>
  <c r="AU5" i="6"/>
  <c r="AV5" i="6"/>
  <c r="DE5" i="6"/>
  <c r="CN5" i="6"/>
  <c r="BW5" i="6"/>
  <c r="BF5" i="6"/>
  <c r="AO5" i="6"/>
  <c r="G151" i="2" l="1"/>
  <c r="F151" i="2"/>
  <c r="D151" i="2"/>
  <c r="C151" i="2"/>
  <c r="J149" i="2"/>
  <c r="I149" i="2"/>
  <c r="H149" i="2"/>
  <c r="E149" i="2"/>
  <c r="J147" i="2"/>
  <c r="I147" i="2"/>
  <c r="H147" i="2"/>
  <c r="E147" i="2"/>
  <c r="J146" i="2"/>
  <c r="I146" i="2"/>
  <c r="H146" i="2"/>
  <c r="E146" i="2"/>
  <c r="J145" i="2"/>
  <c r="I145" i="2"/>
  <c r="K145" i="2" s="1"/>
  <c r="H145" i="2"/>
  <c r="E145" i="2"/>
  <c r="J144" i="2"/>
  <c r="I144" i="2"/>
  <c r="H144" i="2"/>
  <c r="E144" i="2"/>
  <c r="J143" i="2"/>
  <c r="I143" i="2"/>
  <c r="K143" i="2" s="1"/>
  <c r="H143" i="2"/>
  <c r="E143" i="2"/>
  <c r="J142" i="2"/>
  <c r="I142" i="2"/>
  <c r="H142" i="2"/>
  <c r="E142" i="2"/>
  <c r="G136" i="2"/>
  <c r="F136" i="2"/>
  <c r="D136" i="2"/>
  <c r="C136" i="2"/>
  <c r="J134" i="2"/>
  <c r="I134" i="2"/>
  <c r="H134" i="2"/>
  <c r="E134" i="2"/>
  <c r="J132" i="2"/>
  <c r="I132" i="2"/>
  <c r="H132" i="2"/>
  <c r="E132" i="2"/>
  <c r="J131" i="2"/>
  <c r="I131" i="2"/>
  <c r="H131" i="2"/>
  <c r="E131" i="2"/>
  <c r="J130" i="2"/>
  <c r="I130" i="2"/>
  <c r="H130" i="2"/>
  <c r="E130" i="2"/>
  <c r="J129" i="2"/>
  <c r="I129" i="2"/>
  <c r="H129" i="2"/>
  <c r="E129" i="2"/>
  <c r="J128" i="2"/>
  <c r="I128" i="2"/>
  <c r="H128" i="2"/>
  <c r="E128" i="2"/>
  <c r="J127" i="2"/>
  <c r="I127" i="2"/>
  <c r="H127" i="2"/>
  <c r="E127" i="2"/>
  <c r="K147" i="2" l="1"/>
  <c r="K129" i="2"/>
  <c r="K144" i="2"/>
  <c r="J151" i="2"/>
  <c r="I151" i="2"/>
  <c r="K131" i="2"/>
  <c r="K130" i="2"/>
  <c r="J136" i="2"/>
  <c r="K149" i="2"/>
  <c r="K142" i="2"/>
  <c r="K146" i="2"/>
  <c r="K134" i="2"/>
  <c r="K127" i="2"/>
  <c r="I136" i="2"/>
  <c r="K132" i="2"/>
  <c r="K128" i="2"/>
  <c r="E158" i="2" l="1"/>
  <c r="C182" i="2" l="1"/>
  <c r="E180" i="2" l="1"/>
  <c r="D182" i="2"/>
  <c r="F167" i="2"/>
  <c r="C167" i="2"/>
  <c r="I167" i="2" l="1"/>
  <c r="G182" i="2" l="1"/>
  <c r="J182" i="2" s="1"/>
  <c r="F182" i="2"/>
  <c r="I182" i="2"/>
  <c r="J180" i="2"/>
  <c r="I180" i="2"/>
  <c r="H180" i="2"/>
  <c r="J178" i="2"/>
  <c r="I178" i="2"/>
  <c r="H178" i="2"/>
  <c r="E178" i="2"/>
  <c r="J177" i="2"/>
  <c r="I177" i="2"/>
  <c r="H177" i="2"/>
  <c r="E177" i="2"/>
  <c r="J176" i="2"/>
  <c r="I176" i="2"/>
  <c r="H176" i="2"/>
  <c r="E176" i="2"/>
  <c r="J175" i="2"/>
  <c r="I175" i="2"/>
  <c r="H175" i="2"/>
  <c r="E175" i="2"/>
  <c r="J174" i="2"/>
  <c r="I174" i="2"/>
  <c r="H174" i="2"/>
  <c r="E174" i="2"/>
  <c r="J173" i="2"/>
  <c r="I173" i="2"/>
  <c r="H173" i="2"/>
  <c r="E173" i="2"/>
  <c r="G167" i="2"/>
  <c r="D167" i="2"/>
  <c r="J165" i="2"/>
  <c r="I165" i="2"/>
  <c r="H165" i="2"/>
  <c r="E165" i="2"/>
  <c r="J163" i="2"/>
  <c r="I163" i="2"/>
  <c r="H163" i="2"/>
  <c r="E163" i="2"/>
  <c r="J162" i="2"/>
  <c r="I162" i="2"/>
  <c r="H162" i="2"/>
  <c r="E162" i="2"/>
  <c r="J161" i="2"/>
  <c r="I161" i="2"/>
  <c r="H161" i="2"/>
  <c r="E161" i="2"/>
  <c r="J160" i="2"/>
  <c r="I160" i="2"/>
  <c r="H160" i="2"/>
  <c r="E160" i="2"/>
  <c r="J159" i="2"/>
  <c r="I159" i="2"/>
  <c r="H159" i="2"/>
  <c r="E159" i="2"/>
  <c r="J158" i="2"/>
  <c r="I158" i="2"/>
  <c r="H158" i="2"/>
  <c r="K178" i="2" l="1"/>
  <c r="K159" i="2"/>
  <c r="K180" i="2"/>
  <c r="K173" i="2"/>
  <c r="K175" i="2"/>
  <c r="K176" i="2"/>
  <c r="K177" i="2"/>
  <c r="K174" i="2"/>
  <c r="K165" i="2"/>
  <c r="K160" i="2"/>
  <c r="K163" i="2"/>
  <c r="J167" i="2"/>
  <c r="K161" i="2"/>
  <c r="K162" i="2"/>
  <c r="K158" i="2"/>
  <c r="J189" i="2"/>
  <c r="C198" i="2"/>
  <c r="C196" i="2"/>
  <c r="G213" i="2" l="1"/>
  <c r="F213" i="2"/>
  <c r="C213" i="2"/>
  <c r="J211" i="2"/>
  <c r="I211" i="2"/>
  <c r="H211" i="2"/>
  <c r="E211" i="2"/>
  <c r="I209" i="2"/>
  <c r="H209" i="2"/>
  <c r="E209" i="2"/>
  <c r="D213" i="2"/>
  <c r="J208" i="2"/>
  <c r="I208" i="2"/>
  <c r="H208" i="2"/>
  <c r="E208" i="2"/>
  <c r="J207" i="2"/>
  <c r="I207" i="2"/>
  <c r="H207" i="2"/>
  <c r="E207" i="2"/>
  <c r="J206" i="2"/>
  <c r="I206" i="2"/>
  <c r="K206" i="2" s="1"/>
  <c r="H206" i="2"/>
  <c r="E206" i="2"/>
  <c r="J205" i="2"/>
  <c r="I205" i="2"/>
  <c r="H205" i="2"/>
  <c r="E205" i="2"/>
  <c r="J204" i="2"/>
  <c r="I204" i="2"/>
  <c r="K204" i="2" s="1"/>
  <c r="H204" i="2"/>
  <c r="E204" i="2"/>
  <c r="G198" i="2"/>
  <c r="D198" i="2"/>
  <c r="I198" i="2"/>
  <c r="J196" i="2"/>
  <c r="I196" i="2"/>
  <c r="H196" i="2"/>
  <c r="E196" i="2"/>
  <c r="J194" i="2"/>
  <c r="I194" i="2"/>
  <c r="H194" i="2"/>
  <c r="E194" i="2"/>
  <c r="J193" i="2"/>
  <c r="I193" i="2"/>
  <c r="H193" i="2"/>
  <c r="E193" i="2"/>
  <c r="J192" i="2"/>
  <c r="I192" i="2"/>
  <c r="H192" i="2"/>
  <c r="E192" i="2"/>
  <c r="J191" i="2"/>
  <c r="I191" i="2"/>
  <c r="H191" i="2"/>
  <c r="E191" i="2"/>
  <c r="J190" i="2"/>
  <c r="I190" i="2"/>
  <c r="H190" i="2"/>
  <c r="E190" i="2"/>
  <c r="I189" i="2"/>
  <c r="K189" i="2" s="1"/>
  <c r="H189" i="2"/>
  <c r="E189" i="2"/>
  <c r="K190" i="2" l="1"/>
  <c r="K211" i="2"/>
  <c r="J213" i="2"/>
  <c r="K205" i="2"/>
  <c r="I213" i="2"/>
  <c r="K196" i="2"/>
  <c r="K194" i="2"/>
  <c r="K192" i="2"/>
  <c r="K191" i="2"/>
  <c r="K207" i="2"/>
  <c r="K208" i="2"/>
  <c r="J198" i="2"/>
  <c r="K193" i="2"/>
  <c r="J209" i="2"/>
  <c r="K209" i="2" s="1"/>
  <c r="J242" i="2" l="1"/>
  <c r="D240" i="2" l="1"/>
  <c r="G229" i="2" l="1"/>
  <c r="H227" i="2" l="1"/>
  <c r="G244" i="2"/>
  <c r="F244" i="2"/>
  <c r="D244" i="2"/>
  <c r="C244" i="2"/>
  <c r="I242" i="2"/>
  <c r="H242" i="2"/>
  <c r="E242" i="2"/>
  <c r="J240" i="2"/>
  <c r="I240" i="2"/>
  <c r="H240" i="2"/>
  <c r="E240" i="2"/>
  <c r="J239" i="2"/>
  <c r="I239" i="2"/>
  <c r="H239" i="2"/>
  <c r="E239" i="2"/>
  <c r="J238" i="2"/>
  <c r="I238" i="2"/>
  <c r="H238" i="2"/>
  <c r="E238" i="2"/>
  <c r="J237" i="2"/>
  <c r="I237" i="2"/>
  <c r="H237" i="2"/>
  <c r="E237" i="2"/>
  <c r="J236" i="2"/>
  <c r="I236" i="2"/>
  <c r="H236" i="2"/>
  <c r="E236" i="2"/>
  <c r="J235" i="2"/>
  <c r="I235" i="2"/>
  <c r="H235" i="2"/>
  <c r="E235" i="2"/>
  <c r="F229" i="2"/>
  <c r="D229" i="2"/>
  <c r="C229" i="2"/>
  <c r="J227" i="2"/>
  <c r="I227" i="2"/>
  <c r="E227" i="2"/>
  <c r="J225" i="2"/>
  <c r="I225" i="2"/>
  <c r="K225" i="2" s="1"/>
  <c r="H225" i="2"/>
  <c r="E225" i="2"/>
  <c r="J224" i="2"/>
  <c r="I224" i="2"/>
  <c r="H224" i="2"/>
  <c r="E224" i="2"/>
  <c r="J223" i="2"/>
  <c r="I223" i="2"/>
  <c r="H223" i="2"/>
  <c r="E223" i="2"/>
  <c r="J222" i="2"/>
  <c r="I222" i="2"/>
  <c r="H222" i="2"/>
  <c r="E222" i="2"/>
  <c r="J221" i="2"/>
  <c r="I221" i="2"/>
  <c r="H221" i="2"/>
  <c r="E221" i="2"/>
  <c r="J220" i="2"/>
  <c r="I220" i="2"/>
  <c r="H220" i="2"/>
  <c r="E220" i="2"/>
  <c r="K235" i="2" l="1"/>
  <c r="K237" i="2"/>
  <c r="K239" i="2"/>
  <c r="J244" i="2"/>
  <c r="K238" i="2"/>
  <c r="K236" i="2"/>
  <c r="K221" i="2"/>
  <c r="K242" i="2"/>
  <c r="I244" i="2"/>
  <c r="K240" i="2"/>
  <c r="K227" i="2"/>
  <c r="K220" i="2"/>
  <c r="J229" i="2"/>
  <c r="K224" i="2"/>
  <c r="I229" i="2"/>
  <c r="K223" i="2"/>
  <c r="K222" i="2"/>
  <c r="F338" i="2"/>
  <c r="D338" i="2"/>
  <c r="F306" i="2"/>
  <c r="D306" i="2"/>
  <c r="C306" i="2"/>
  <c r="G275" i="2"/>
  <c r="F275" i="2"/>
  <c r="D275" i="2"/>
  <c r="C275" i="2"/>
  <c r="I275" i="2" l="1"/>
  <c r="J275" i="2"/>
  <c r="H382" i="2"/>
  <c r="E382" i="2"/>
  <c r="E381" i="2"/>
  <c r="H423" i="2"/>
  <c r="E423" i="2"/>
  <c r="E422" i="2"/>
  <c r="J423" i="2"/>
  <c r="I423" i="2"/>
  <c r="K423" i="2" s="1"/>
  <c r="J422" i="2"/>
  <c r="I422" i="2"/>
  <c r="K422" i="2" s="1"/>
  <c r="J382" i="2"/>
  <c r="I382" i="2"/>
  <c r="J381" i="2"/>
  <c r="I381" i="2"/>
  <c r="J336" i="2"/>
  <c r="I336" i="2"/>
  <c r="K336" i="2" s="1"/>
  <c r="H336" i="2"/>
  <c r="E336" i="2"/>
  <c r="I304" i="2"/>
  <c r="J304" i="2"/>
  <c r="H304" i="2"/>
  <c r="E304" i="2"/>
  <c r="H273" i="2"/>
  <c r="E273" i="2"/>
  <c r="J273" i="2"/>
  <c r="I273" i="2"/>
  <c r="K381" i="2" l="1"/>
  <c r="K382" i="2"/>
  <c r="K273" i="2"/>
  <c r="K304" i="2"/>
  <c r="C378" i="2"/>
  <c r="C376" i="2" s="1"/>
  <c r="G260" i="2"/>
  <c r="F260" i="2"/>
  <c r="D260" i="2"/>
  <c r="C260" i="2"/>
  <c r="I260" i="2" l="1"/>
  <c r="J260" i="2"/>
  <c r="C541" i="2"/>
  <c r="G419" i="2"/>
  <c r="G417" i="2" s="1"/>
  <c r="F419" i="2"/>
  <c r="F417" i="2" s="1"/>
  <c r="H417" i="2" s="1"/>
  <c r="D419" i="2"/>
  <c r="D417" i="2" s="1"/>
  <c r="J417" i="2" s="1"/>
  <c r="C419" i="2"/>
  <c r="C417" i="2" s="1"/>
  <c r="J415" i="2"/>
  <c r="I415" i="2"/>
  <c r="H415" i="2"/>
  <c r="E415" i="2"/>
  <c r="J414" i="2"/>
  <c r="I414" i="2"/>
  <c r="H414" i="2"/>
  <c r="E414" i="2"/>
  <c r="J413" i="2"/>
  <c r="I413" i="2"/>
  <c r="H413" i="2"/>
  <c r="E413" i="2"/>
  <c r="J412" i="2"/>
  <c r="I412" i="2"/>
  <c r="H412" i="2"/>
  <c r="E412" i="2"/>
  <c r="J411" i="2"/>
  <c r="I411" i="2"/>
  <c r="H411" i="2"/>
  <c r="E411" i="2"/>
  <c r="J410" i="2"/>
  <c r="I410" i="2"/>
  <c r="H410" i="2"/>
  <c r="E410" i="2"/>
  <c r="G378" i="2"/>
  <c r="G376" i="2" s="1"/>
  <c r="F378" i="2"/>
  <c r="F376" i="2" s="1"/>
  <c r="D378" i="2"/>
  <c r="D376" i="2" s="1"/>
  <c r="J374" i="2"/>
  <c r="I374" i="2"/>
  <c r="H374" i="2"/>
  <c r="E374" i="2"/>
  <c r="J373" i="2"/>
  <c r="I373" i="2"/>
  <c r="H373" i="2"/>
  <c r="E373" i="2"/>
  <c r="J372" i="2"/>
  <c r="I372" i="2"/>
  <c r="H372" i="2"/>
  <c r="E372" i="2"/>
  <c r="J371" i="2"/>
  <c r="I371" i="2"/>
  <c r="H371" i="2"/>
  <c r="E371" i="2"/>
  <c r="J370" i="2"/>
  <c r="I370" i="2"/>
  <c r="H370" i="2"/>
  <c r="E370" i="2"/>
  <c r="J369" i="2"/>
  <c r="I369" i="2"/>
  <c r="H369" i="2"/>
  <c r="E369" i="2"/>
  <c r="J376" i="2" l="1"/>
  <c r="H376" i="2"/>
  <c r="I376" i="2"/>
  <c r="K376" i="2" s="1"/>
  <c r="E417" i="2"/>
  <c r="I417" i="2"/>
  <c r="K417" i="2" s="1"/>
  <c r="E376" i="2"/>
  <c r="K411" i="2"/>
  <c r="K413" i="2"/>
  <c r="K415" i="2"/>
  <c r="K373" i="2"/>
  <c r="K412" i="2"/>
  <c r="J419" i="2"/>
  <c r="K414" i="2"/>
  <c r="I419" i="2"/>
  <c r="K370" i="2"/>
  <c r="K374" i="2"/>
  <c r="K410" i="2"/>
  <c r="K371" i="2"/>
  <c r="I378" i="2"/>
  <c r="J378" i="2"/>
  <c r="K372" i="2"/>
  <c r="K369" i="2"/>
  <c r="C334" i="2"/>
  <c r="C338" i="2" s="1"/>
  <c r="I338" i="2" s="1"/>
  <c r="G338" i="2" l="1"/>
  <c r="J334" i="2"/>
  <c r="I334" i="2"/>
  <c r="H334" i="2"/>
  <c r="E334" i="2"/>
  <c r="J333" i="2"/>
  <c r="I333" i="2"/>
  <c r="H333" i="2"/>
  <c r="E333" i="2"/>
  <c r="J332" i="2"/>
  <c r="I332" i="2"/>
  <c r="H332" i="2"/>
  <c r="E332" i="2"/>
  <c r="J331" i="2"/>
  <c r="I331" i="2"/>
  <c r="H331" i="2"/>
  <c r="E331" i="2"/>
  <c r="J330" i="2"/>
  <c r="I330" i="2"/>
  <c r="H330" i="2"/>
  <c r="E330" i="2"/>
  <c r="J329" i="2"/>
  <c r="I329" i="2"/>
  <c r="H329" i="2"/>
  <c r="E329" i="2"/>
  <c r="G306" i="2"/>
  <c r="J302" i="2"/>
  <c r="I302" i="2"/>
  <c r="H302" i="2"/>
  <c r="E302" i="2"/>
  <c r="J301" i="2"/>
  <c r="I301" i="2"/>
  <c r="H301" i="2"/>
  <c r="E301" i="2"/>
  <c r="J300" i="2"/>
  <c r="I300" i="2"/>
  <c r="H300" i="2"/>
  <c r="E300" i="2"/>
  <c r="J299" i="2"/>
  <c r="I299" i="2"/>
  <c r="H299" i="2"/>
  <c r="E299" i="2"/>
  <c r="J298" i="2"/>
  <c r="I298" i="2"/>
  <c r="H298" i="2"/>
  <c r="E298" i="2"/>
  <c r="J297" i="2"/>
  <c r="I297" i="2"/>
  <c r="H297" i="2"/>
  <c r="E297" i="2"/>
  <c r="J271" i="2"/>
  <c r="I271" i="2"/>
  <c r="H271" i="2"/>
  <c r="E271" i="2"/>
  <c r="J270" i="2"/>
  <c r="I270" i="2"/>
  <c r="H270" i="2"/>
  <c r="E270" i="2"/>
  <c r="J269" i="2"/>
  <c r="I269" i="2"/>
  <c r="H269" i="2"/>
  <c r="E269" i="2"/>
  <c r="J268" i="2"/>
  <c r="I268" i="2"/>
  <c r="H268" i="2"/>
  <c r="E268" i="2"/>
  <c r="J267" i="2"/>
  <c r="I267" i="2"/>
  <c r="H267" i="2"/>
  <c r="E267" i="2"/>
  <c r="J266" i="2"/>
  <c r="I266" i="2"/>
  <c r="H266" i="2"/>
  <c r="E266" i="2"/>
  <c r="H258" i="2"/>
  <c r="J256" i="2"/>
  <c r="I256" i="2"/>
  <c r="H256" i="2"/>
  <c r="E256" i="2"/>
  <c r="J255" i="2"/>
  <c r="I255" i="2"/>
  <c r="H255" i="2"/>
  <c r="E255" i="2"/>
  <c r="J254" i="2"/>
  <c r="I254" i="2"/>
  <c r="H254" i="2"/>
  <c r="E254" i="2"/>
  <c r="J253" i="2"/>
  <c r="I253" i="2"/>
  <c r="H253" i="2"/>
  <c r="E253" i="2"/>
  <c r="J252" i="2"/>
  <c r="I252" i="2"/>
  <c r="H252" i="2"/>
  <c r="E252" i="2"/>
  <c r="J251" i="2"/>
  <c r="I251" i="2"/>
  <c r="H251" i="2"/>
  <c r="E251" i="2"/>
  <c r="J287" i="2"/>
  <c r="I287" i="2"/>
  <c r="H287" i="2"/>
  <c r="E287" i="2"/>
  <c r="J286" i="2"/>
  <c r="I286" i="2"/>
  <c r="H286" i="2"/>
  <c r="E286" i="2"/>
  <c r="J285" i="2"/>
  <c r="I285" i="2"/>
  <c r="H285" i="2"/>
  <c r="E285" i="2"/>
  <c r="J284" i="2"/>
  <c r="I284" i="2"/>
  <c r="H284" i="2"/>
  <c r="E284" i="2"/>
  <c r="J283" i="2"/>
  <c r="I283" i="2"/>
  <c r="H283" i="2"/>
  <c r="E283" i="2"/>
  <c r="J282" i="2"/>
  <c r="I282" i="2"/>
  <c r="H282" i="2"/>
  <c r="E282" i="2"/>
  <c r="I319" i="2"/>
  <c r="H319" i="2"/>
  <c r="J319" i="2"/>
  <c r="E319" i="2"/>
  <c r="J318" i="2"/>
  <c r="H318" i="2"/>
  <c r="E318" i="2"/>
  <c r="I318" i="2"/>
  <c r="H317" i="2"/>
  <c r="J317" i="2"/>
  <c r="I317" i="2"/>
  <c r="H316" i="2"/>
  <c r="E316" i="2"/>
  <c r="I316" i="2"/>
  <c r="H315" i="2"/>
  <c r="I315" i="2"/>
  <c r="E315" i="2"/>
  <c r="J315" i="2"/>
  <c r="I314" i="2"/>
  <c r="J314" i="2"/>
  <c r="H314" i="2"/>
  <c r="E314" i="2"/>
  <c r="G361" i="2"/>
  <c r="F361" i="2"/>
  <c r="D361" i="2"/>
  <c r="C361" i="2"/>
  <c r="G359" i="2"/>
  <c r="J359" i="2" s="1"/>
  <c r="F359" i="2"/>
  <c r="C359" i="2"/>
  <c r="G351" i="2"/>
  <c r="F351" i="2"/>
  <c r="D351" i="2"/>
  <c r="C351" i="2"/>
  <c r="G350" i="2"/>
  <c r="F350" i="2"/>
  <c r="D350" i="2"/>
  <c r="C350" i="2"/>
  <c r="G349" i="2"/>
  <c r="F349" i="2"/>
  <c r="D349" i="2"/>
  <c r="C349" i="2"/>
  <c r="G348" i="2"/>
  <c r="F348" i="2"/>
  <c r="D348" i="2"/>
  <c r="C348" i="2"/>
  <c r="G347" i="2"/>
  <c r="F347" i="2"/>
  <c r="D347" i="2"/>
  <c r="C347" i="2"/>
  <c r="G346" i="2"/>
  <c r="F346" i="2"/>
  <c r="D346" i="2"/>
  <c r="C346" i="2"/>
  <c r="G364" i="2"/>
  <c r="F364" i="2"/>
  <c r="D364" i="2"/>
  <c r="C364" i="2"/>
  <c r="J360" i="2"/>
  <c r="I360" i="2"/>
  <c r="E360" i="2"/>
  <c r="C405" i="2"/>
  <c r="C394" i="2" s="1"/>
  <c r="C387" i="2"/>
  <c r="D387" i="2"/>
  <c r="F387" i="2"/>
  <c r="G387" i="2"/>
  <c r="C388" i="2"/>
  <c r="D388" i="2"/>
  <c r="F388" i="2"/>
  <c r="G388" i="2"/>
  <c r="D389" i="2"/>
  <c r="F389" i="2"/>
  <c r="I389" i="2" s="1"/>
  <c r="G389" i="2"/>
  <c r="C390" i="2"/>
  <c r="D390" i="2"/>
  <c r="F390" i="2"/>
  <c r="G390" i="2"/>
  <c r="C391" i="2"/>
  <c r="D391" i="2"/>
  <c r="F391" i="2"/>
  <c r="G391" i="2"/>
  <c r="C392" i="2"/>
  <c r="D392" i="2"/>
  <c r="F392" i="2"/>
  <c r="G392" i="2"/>
  <c r="E400" i="2"/>
  <c r="F400" i="2"/>
  <c r="G400" i="2"/>
  <c r="J400" i="2" s="1"/>
  <c r="E401" i="2"/>
  <c r="I401" i="2"/>
  <c r="J401" i="2"/>
  <c r="C402" i="2"/>
  <c r="D402" i="2"/>
  <c r="F402" i="2"/>
  <c r="G402" i="2"/>
  <c r="D405" i="2"/>
  <c r="D394" i="2" s="1"/>
  <c r="F405" i="2"/>
  <c r="G405" i="2"/>
  <c r="C430" i="2"/>
  <c r="D430" i="2"/>
  <c r="F430" i="2"/>
  <c r="G430" i="2"/>
  <c r="C431" i="2"/>
  <c r="D431" i="2"/>
  <c r="F431" i="2"/>
  <c r="G431" i="2"/>
  <c r="C432" i="2"/>
  <c r="D432" i="2"/>
  <c r="F432" i="2"/>
  <c r="G432" i="2"/>
  <c r="C433" i="2"/>
  <c r="D433" i="2"/>
  <c r="F433" i="2"/>
  <c r="G433" i="2"/>
  <c r="C434" i="2"/>
  <c r="D434" i="2"/>
  <c r="F434" i="2"/>
  <c r="G434" i="2"/>
  <c r="C435" i="2"/>
  <c r="D435" i="2"/>
  <c r="F435" i="2"/>
  <c r="G435" i="2"/>
  <c r="E442" i="2"/>
  <c r="H442" i="2"/>
  <c r="I442" i="2"/>
  <c r="J442" i="2"/>
  <c r="E443" i="2"/>
  <c r="I443" i="2"/>
  <c r="J443" i="2"/>
  <c r="C444" i="2"/>
  <c r="D444" i="2"/>
  <c r="F444" i="2"/>
  <c r="G444" i="2"/>
  <c r="C447" i="2"/>
  <c r="C437" i="2" s="1"/>
  <c r="D447" i="2"/>
  <c r="D437" i="2" s="1"/>
  <c r="F447" i="2"/>
  <c r="F437" i="2" s="1"/>
  <c r="G447" i="2"/>
  <c r="G437" i="2" s="1"/>
  <c r="C457" i="2"/>
  <c r="D457" i="2"/>
  <c r="F457" i="2"/>
  <c r="G457" i="2"/>
  <c r="C458" i="2"/>
  <c r="D458" i="2"/>
  <c r="F458" i="2"/>
  <c r="G458" i="2"/>
  <c r="C459" i="2"/>
  <c r="D459" i="2"/>
  <c r="F459" i="2"/>
  <c r="G459" i="2"/>
  <c r="C460" i="2"/>
  <c r="D460" i="2"/>
  <c r="F460" i="2"/>
  <c r="G460" i="2"/>
  <c r="C461" i="2"/>
  <c r="D461" i="2"/>
  <c r="F461" i="2"/>
  <c r="G461" i="2"/>
  <c r="C462" i="2"/>
  <c r="D462" i="2"/>
  <c r="F462" i="2"/>
  <c r="G462" i="2"/>
  <c r="E469" i="2"/>
  <c r="F469" i="2"/>
  <c r="G469" i="2"/>
  <c r="J469" i="2" s="1"/>
  <c r="E470" i="2"/>
  <c r="I470" i="2"/>
  <c r="J470" i="2"/>
  <c r="C471" i="2"/>
  <c r="D471" i="2"/>
  <c r="F471" i="2"/>
  <c r="G471" i="2"/>
  <c r="C474" i="2"/>
  <c r="D474" i="2"/>
  <c r="D464" i="2" s="1"/>
  <c r="F474" i="2"/>
  <c r="G474" i="2"/>
  <c r="C485" i="2"/>
  <c r="D485" i="2"/>
  <c r="F485" i="2"/>
  <c r="G485" i="2"/>
  <c r="C486" i="2"/>
  <c r="D486" i="2"/>
  <c r="F486" i="2"/>
  <c r="G486" i="2"/>
  <c r="C487" i="2"/>
  <c r="D487" i="2"/>
  <c r="F487" i="2"/>
  <c r="G487" i="2"/>
  <c r="C488" i="2"/>
  <c r="D488" i="2"/>
  <c r="F488" i="2"/>
  <c r="G488" i="2"/>
  <c r="C489" i="2"/>
  <c r="D489" i="2"/>
  <c r="F489" i="2"/>
  <c r="G489" i="2"/>
  <c r="C490" i="2"/>
  <c r="D490" i="2"/>
  <c r="F490" i="2"/>
  <c r="G490" i="2"/>
  <c r="C492" i="2"/>
  <c r="D492" i="2"/>
  <c r="F492" i="2"/>
  <c r="G492" i="2"/>
  <c r="E497" i="2"/>
  <c r="H497" i="2"/>
  <c r="I497" i="2"/>
  <c r="J497" i="2"/>
  <c r="E498" i="2"/>
  <c r="I498" i="2"/>
  <c r="J498" i="2"/>
  <c r="C499" i="2"/>
  <c r="D499" i="2"/>
  <c r="F499" i="2"/>
  <c r="G499" i="2"/>
  <c r="C510" i="2"/>
  <c r="D510" i="2"/>
  <c r="F510" i="2"/>
  <c r="G510" i="2"/>
  <c r="C511" i="2"/>
  <c r="D511" i="2"/>
  <c r="F511" i="2"/>
  <c r="G511" i="2"/>
  <c r="C512" i="2"/>
  <c r="D512" i="2"/>
  <c r="F512" i="2"/>
  <c r="G512" i="2"/>
  <c r="C513" i="2"/>
  <c r="D513" i="2"/>
  <c r="F513" i="2"/>
  <c r="G513" i="2"/>
  <c r="C514" i="2"/>
  <c r="D514" i="2"/>
  <c r="F514" i="2"/>
  <c r="G514" i="2"/>
  <c r="C515" i="2"/>
  <c r="D515" i="2"/>
  <c r="F515" i="2"/>
  <c r="G515" i="2"/>
  <c r="D517" i="2"/>
  <c r="C522" i="2"/>
  <c r="E522" i="2" s="1"/>
  <c r="F522" i="2"/>
  <c r="F517" i="2" s="1"/>
  <c r="G522" i="2"/>
  <c r="G517" i="2" s="1"/>
  <c r="E523" i="2"/>
  <c r="I523" i="2"/>
  <c r="J523" i="2"/>
  <c r="C524" i="2"/>
  <c r="D524" i="2"/>
  <c r="F524" i="2"/>
  <c r="G524" i="2"/>
  <c r="C534" i="2"/>
  <c r="D534" i="2"/>
  <c r="F534" i="2"/>
  <c r="G534" i="2"/>
  <c r="C535" i="2"/>
  <c r="D535" i="2"/>
  <c r="F535" i="2"/>
  <c r="G535" i="2"/>
  <c r="C536" i="2"/>
  <c r="D536" i="2"/>
  <c r="F536" i="2"/>
  <c r="G536" i="2"/>
  <c r="C537" i="2"/>
  <c r="D537" i="2"/>
  <c r="F537" i="2"/>
  <c r="G537" i="2"/>
  <c r="C538" i="2"/>
  <c r="D538" i="2"/>
  <c r="F538" i="2"/>
  <c r="G538" i="2"/>
  <c r="C539" i="2"/>
  <c r="D539" i="2"/>
  <c r="F539" i="2"/>
  <c r="G539" i="2"/>
  <c r="D541" i="2"/>
  <c r="E546" i="2"/>
  <c r="F546" i="2"/>
  <c r="I546" i="2" s="1"/>
  <c r="G546" i="2"/>
  <c r="J546" i="2" s="1"/>
  <c r="E547" i="2"/>
  <c r="I547" i="2"/>
  <c r="J547" i="2"/>
  <c r="C548" i="2"/>
  <c r="D548" i="2"/>
  <c r="F548" i="2"/>
  <c r="G548" i="2"/>
  <c r="E317" i="2"/>
  <c r="J316" i="2"/>
  <c r="C353" i="2" l="1"/>
  <c r="I347" i="2"/>
  <c r="E430" i="2"/>
  <c r="J490" i="2"/>
  <c r="K282" i="2"/>
  <c r="H536" i="2"/>
  <c r="J488" i="2"/>
  <c r="I431" i="2"/>
  <c r="D355" i="2"/>
  <c r="H462" i="2"/>
  <c r="H405" i="2"/>
  <c r="H391" i="2"/>
  <c r="H351" i="2"/>
  <c r="J471" i="2"/>
  <c r="H321" i="2"/>
  <c r="F353" i="2"/>
  <c r="J461" i="2"/>
  <c r="H457" i="2"/>
  <c r="H432" i="2"/>
  <c r="H430" i="2"/>
  <c r="H348" i="2"/>
  <c r="H499" i="2"/>
  <c r="C396" i="2"/>
  <c r="K284" i="2"/>
  <c r="K286" i="2"/>
  <c r="K253" i="2"/>
  <c r="K255" i="2"/>
  <c r="E534" i="2"/>
  <c r="I390" i="2"/>
  <c r="E485" i="2"/>
  <c r="H492" i="2"/>
  <c r="H489" i="2"/>
  <c r="J485" i="2"/>
  <c r="I364" i="2"/>
  <c r="H514" i="2"/>
  <c r="H512" i="2"/>
  <c r="K498" i="2"/>
  <c r="E432" i="2"/>
  <c r="C355" i="2"/>
  <c r="I350" i="2"/>
  <c r="I359" i="2"/>
  <c r="K359" i="2" s="1"/>
  <c r="K547" i="2"/>
  <c r="E489" i="2"/>
  <c r="E390" i="2"/>
  <c r="K360" i="2"/>
  <c r="H437" i="2"/>
  <c r="H346" i="2"/>
  <c r="F355" i="2"/>
  <c r="I539" i="2"/>
  <c r="K497" i="2"/>
  <c r="H488" i="2"/>
  <c r="H486" i="2"/>
  <c r="H447" i="2"/>
  <c r="G396" i="2"/>
  <c r="G355" i="2"/>
  <c r="F396" i="2"/>
  <c r="E462" i="2"/>
  <c r="D396" i="2"/>
  <c r="H364" i="2"/>
  <c r="E538" i="2"/>
  <c r="E511" i="2"/>
  <c r="E539" i="2"/>
  <c r="H537" i="2"/>
  <c r="H535" i="2"/>
  <c r="I524" i="2"/>
  <c r="J321" i="2"/>
  <c r="J539" i="2"/>
  <c r="J537" i="2"/>
  <c r="J524" i="2"/>
  <c r="J510" i="2"/>
  <c r="I492" i="2"/>
  <c r="E487" i="2"/>
  <c r="E444" i="2"/>
  <c r="I434" i="2"/>
  <c r="K401" i="2"/>
  <c r="H390" i="2"/>
  <c r="H388" i="2"/>
  <c r="K287" i="2"/>
  <c r="K256" i="2"/>
  <c r="K251" i="2"/>
  <c r="E359" i="2"/>
  <c r="E499" i="2"/>
  <c r="J534" i="2"/>
  <c r="H490" i="2"/>
  <c r="I462" i="2"/>
  <c r="I435" i="2"/>
  <c r="K523" i="2"/>
  <c r="I488" i="2"/>
  <c r="I486" i="2"/>
  <c r="F464" i="2"/>
  <c r="K470" i="2"/>
  <c r="E435" i="2"/>
  <c r="I388" i="2"/>
  <c r="J364" i="2"/>
  <c r="J338" i="2"/>
  <c r="H510" i="2"/>
  <c r="H460" i="2"/>
  <c r="E524" i="2"/>
  <c r="J514" i="2"/>
  <c r="J492" i="2"/>
  <c r="J460" i="2"/>
  <c r="J430" i="2"/>
  <c r="I391" i="2"/>
  <c r="I348" i="2"/>
  <c r="I258" i="2"/>
  <c r="K332" i="2"/>
  <c r="E510" i="2"/>
  <c r="E460" i="2"/>
  <c r="E541" i="2"/>
  <c r="I512" i="2"/>
  <c r="I489" i="2"/>
  <c r="E447" i="2"/>
  <c r="K443" i="2"/>
  <c r="H435" i="2"/>
  <c r="J433" i="2"/>
  <c r="I432" i="2"/>
  <c r="I392" i="2"/>
  <c r="H389" i="2"/>
  <c r="E387" i="2"/>
  <c r="J346" i="2"/>
  <c r="J348" i="2"/>
  <c r="H359" i="2"/>
  <c r="J486" i="2"/>
  <c r="J462" i="2"/>
  <c r="H402" i="2"/>
  <c r="J349" i="2"/>
  <c r="J437" i="2"/>
  <c r="E431" i="2"/>
  <c r="I402" i="2"/>
  <c r="I538" i="2"/>
  <c r="H513" i="2"/>
  <c r="J499" i="2"/>
  <c r="I457" i="2"/>
  <c r="H431" i="2"/>
  <c r="H350" i="2"/>
  <c r="I361" i="2"/>
  <c r="E258" i="2"/>
  <c r="K266" i="2"/>
  <c r="K268" i="2"/>
  <c r="K298" i="2"/>
  <c r="K300" i="2"/>
  <c r="K302" i="2"/>
  <c r="H444" i="2"/>
  <c r="K252" i="2"/>
  <c r="G541" i="2"/>
  <c r="J541" i="2" s="1"/>
  <c r="G502" i="2"/>
  <c r="I474" i="2"/>
  <c r="J535" i="2"/>
  <c r="H524" i="2"/>
  <c r="J522" i="2"/>
  <c r="J515" i="2"/>
  <c r="J513" i="2"/>
  <c r="D527" i="2"/>
  <c r="I499" i="2"/>
  <c r="I447" i="2"/>
  <c r="K442" i="2"/>
  <c r="J431" i="2"/>
  <c r="K431" i="2" s="1"/>
  <c r="J361" i="2"/>
  <c r="K285" i="2"/>
  <c r="F527" i="2"/>
  <c r="G551" i="2"/>
  <c r="E515" i="2"/>
  <c r="H459" i="2"/>
  <c r="E391" i="2"/>
  <c r="E492" i="2"/>
  <c r="J517" i="2"/>
  <c r="F394" i="2"/>
  <c r="I394" i="2" s="1"/>
  <c r="C464" i="2"/>
  <c r="K546" i="2"/>
  <c r="H487" i="2"/>
  <c r="I351" i="2"/>
  <c r="I510" i="2"/>
  <c r="H538" i="2"/>
  <c r="E537" i="2"/>
  <c r="H515" i="2"/>
  <c r="J511" i="2"/>
  <c r="J487" i="2"/>
  <c r="E474" i="2"/>
  <c r="E458" i="2"/>
  <c r="E434" i="2"/>
  <c r="G394" i="2"/>
  <c r="J394" i="2" s="1"/>
  <c r="H392" i="2"/>
  <c r="J391" i="2"/>
  <c r="K391" i="2" s="1"/>
  <c r="J387" i="2"/>
  <c r="G353" i="2"/>
  <c r="J347" i="2"/>
  <c r="K347" i="2" s="1"/>
  <c r="H349" i="2"/>
  <c r="E361" i="2"/>
  <c r="K317" i="2"/>
  <c r="I289" i="2"/>
  <c r="K267" i="2"/>
  <c r="K271" i="2"/>
  <c r="K297" i="2"/>
  <c r="K299" i="2"/>
  <c r="H433" i="2"/>
  <c r="F551" i="2"/>
  <c r="H517" i="2"/>
  <c r="H471" i="2"/>
  <c r="J459" i="2"/>
  <c r="J457" i="2"/>
  <c r="E437" i="2"/>
  <c r="K283" i="2"/>
  <c r="H289" i="2"/>
  <c r="H400" i="2"/>
  <c r="E348" i="2"/>
  <c r="H522" i="2"/>
  <c r="J489" i="2"/>
  <c r="E459" i="2"/>
  <c r="I430" i="2"/>
  <c r="E392" i="2"/>
  <c r="H361" i="2"/>
  <c r="E388" i="2"/>
  <c r="J432" i="2"/>
  <c r="H539" i="2"/>
  <c r="E471" i="2"/>
  <c r="H434" i="2"/>
  <c r="E433" i="2"/>
  <c r="I400" i="2"/>
  <c r="K400" i="2" s="1"/>
  <c r="J390" i="2"/>
  <c r="I405" i="2"/>
  <c r="E347" i="2"/>
  <c r="J258" i="2"/>
  <c r="K331" i="2"/>
  <c r="K333" i="2"/>
  <c r="I461" i="2"/>
  <c r="K461" i="2" s="1"/>
  <c r="E461" i="2"/>
  <c r="J458" i="2"/>
  <c r="H458" i="2"/>
  <c r="I353" i="2"/>
  <c r="J405" i="2"/>
  <c r="E405" i="2"/>
  <c r="I433" i="2"/>
  <c r="E351" i="2"/>
  <c r="J351" i="2"/>
  <c r="I535" i="2"/>
  <c r="K535" i="2" s="1"/>
  <c r="E535" i="2"/>
  <c r="C551" i="2"/>
  <c r="E488" i="2"/>
  <c r="I471" i="2"/>
  <c r="E394" i="2"/>
  <c r="H347" i="2"/>
  <c r="I444" i="2"/>
  <c r="J536" i="2"/>
  <c r="E514" i="2"/>
  <c r="I514" i="2"/>
  <c r="J512" i="2"/>
  <c r="H469" i="2"/>
  <c r="I469" i="2"/>
  <c r="K469" i="2" s="1"/>
  <c r="H461" i="2"/>
  <c r="J402" i="2"/>
  <c r="E402" i="2"/>
  <c r="E364" i="2"/>
  <c r="D353" i="2"/>
  <c r="E353" i="2" s="1"/>
  <c r="J350" i="2"/>
  <c r="E350" i="2"/>
  <c r="K318" i="2"/>
  <c r="I511" i="2"/>
  <c r="H511" i="2"/>
  <c r="E548" i="2"/>
  <c r="I548" i="2"/>
  <c r="E490" i="2"/>
  <c r="I490" i="2"/>
  <c r="K490" i="2" s="1"/>
  <c r="I346" i="2"/>
  <c r="E346" i="2"/>
  <c r="I522" i="2"/>
  <c r="C517" i="2"/>
  <c r="K314" i="2"/>
  <c r="G527" i="2"/>
  <c r="H485" i="2"/>
  <c r="I485" i="2"/>
  <c r="J474" i="2"/>
  <c r="E457" i="2"/>
  <c r="I537" i="2"/>
  <c r="J538" i="2"/>
  <c r="J434" i="2"/>
  <c r="J548" i="2"/>
  <c r="H548" i="2"/>
  <c r="I534" i="2"/>
  <c r="H534" i="2"/>
  <c r="G464" i="2"/>
  <c r="H474" i="2"/>
  <c r="J388" i="2"/>
  <c r="I321" i="2"/>
  <c r="E321" i="2"/>
  <c r="H387" i="2"/>
  <c r="I387" i="2"/>
  <c r="H546" i="2"/>
  <c r="I513" i="2"/>
  <c r="E513" i="2"/>
  <c r="J389" i="2"/>
  <c r="K389" i="2" s="1"/>
  <c r="E389" i="2"/>
  <c r="C502" i="2"/>
  <c r="I487" i="2"/>
  <c r="F502" i="2"/>
  <c r="I458" i="2"/>
  <c r="I437" i="2"/>
  <c r="I459" i="2"/>
  <c r="I460" i="2"/>
  <c r="F541" i="2"/>
  <c r="E536" i="2"/>
  <c r="I536" i="2"/>
  <c r="D551" i="2"/>
  <c r="I515" i="2"/>
  <c r="C527" i="2"/>
  <c r="E486" i="2"/>
  <c r="D502" i="2"/>
  <c r="J447" i="2"/>
  <c r="J392" i="2"/>
  <c r="E349" i="2"/>
  <c r="I349" i="2"/>
  <c r="J435" i="2"/>
  <c r="K435" i="2" s="1"/>
  <c r="K316" i="2"/>
  <c r="K269" i="2"/>
  <c r="J306" i="2"/>
  <c r="J444" i="2"/>
  <c r="K301" i="2"/>
  <c r="I306" i="2"/>
  <c r="K330" i="2"/>
  <c r="K334" i="2"/>
  <c r="K254" i="2"/>
  <c r="K329" i="2"/>
  <c r="K270" i="2"/>
  <c r="E512" i="2"/>
  <c r="K315" i="2"/>
  <c r="K319" i="2"/>
  <c r="J289" i="2"/>
  <c r="E289" i="2"/>
  <c r="K350" i="2" l="1"/>
  <c r="H353" i="2"/>
  <c r="K471" i="2"/>
  <c r="K485" i="2"/>
  <c r="K364" i="2"/>
  <c r="K524" i="2"/>
  <c r="K321" i="2"/>
  <c r="K434" i="2"/>
  <c r="K488" i="2"/>
  <c r="K388" i="2"/>
  <c r="K462" i="2"/>
  <c r="K390" i="2"/>
  <c r="K511" i="2"/>
  <c r="K387" i="2"/>
  <c r="I396" i="2"/>
  <c r="J396" i="2"/>
  <c r="K539" i="2"/>
  <c r="K361" i="2"/>
  <c r="K447" i="2"/>
  <c r="J355" i="2"/>
  <c r="K537" i="2"/>
  <c r="K510" i="2"/>
  <c r="K474" i="2"/>
  <c r="I355" i="2"/>
  <c r="K430" i="2"/>
  <c r="K499" i="2"/>
  <c r="K402" i="2"/>
  <c r="K522" i="2"/>
  <c r="K348" i="2"/>
  <c r="K437" i="2"/>
  <c r="K515" i="2"/>
  <c r="K458" i="2"/>
  <c r="K346" i="2"/>
  <c r="H464" i="2"/>
  <c r="K457" i="2"/>
  <c r="K486" i="2"/>
  <c r="K444" i="2"/>
  <c r="K513" i="2"/>
  <c r="K433" i="2"/>
  <c r="K349" i="2"/>
  <c r="K534" i="2"/>
  <c r="K487" i="2"/>
  <c r="K514" i="2"/>
  <c r="K258" i="2"/>
  <c r="K489" i="2"/>
  <c r="K492" i="2"/>
  <c r="H502" i="2"/>
  <c r="K394" i="2"/>
  <c r="K289" i="2"/>
  <c r="H551" i="2"/>
  <c r="K392" i="2"/>
  <c r="J527" i="2"/>
  <c r="K512" i="2"/>
  <c r="K405" i="2"/>
  <c r="J551" i="2"/>
  <c r="J502" i="2"/>
  <c r="K460" i="2"/>
  <c r="K538" i="2"/>
  <c r="J464" i="2"/>
  <c r="H394" i="2"/>
  <c r="K432" i="2"/>
  <c r="K459" i="2"/>
  <c r="K548" i="2"/>
  <c r="I464" i="2"/>
  <c r="E464" i="2"/>
  <c r="K536" i="2"/>
  <c r="K351" i="2"/>
  <c r="I541" i="2"/>
  <c r="K541" i="2" s="1"/>
  <c r="H541" i="2"/>
  <c r="J353" i="2"/>
  <c r="K353" i="2" s="1"/>
  <c r="E517" i="2"/>
  <c r="I517" i="2"/>
  <c r="K517" i="2" s="1"/>
  <c r="I527" i="2"/>
  <c r="E527" i="2"/>
  <c r="H527" i="2"/>
  <c r="I502" i="2"/>
  <c r="E502" i="2"/>
  <c r="E551" i="2"/>
  <c r="I551" i="2"/>
  <c r="K551" i="2" s="1"/>
  <c r="K464" i="2" l="1"/>
  <c r="K527" i="2"/>
  <c r="K502" i="2"/>
</calcChain>
</file>

<file path=xl/sharedStrings.xml><?xml version="1.0" encoding="utf-8"?>
<sst xmlns="http://schemas.openxmlformats.org/spreadsheetml/2006/main" count="1123" uniqueCount="132">
  <si>
    <t xml:space="preserve"> </t>
  </si>
  <si>
    <t>COLLEGE</t>
  </si>
  <si>
    <t>Undergraduate</t>
  </si>
  <si>
    <t>Graduate</t>
  </si>
  <si>
    <t>Total</t>
  </si>
  <si>
    <t>Enrollment</t>
  </si>
  <si>
    <t>Sections</t>
  </si>
  <si>
    <t>Avg Sect</t>
  </si>
  <si>
    <t>Ave Sect</t>
  </si>
  <si>
    <t>AG</t>
  </si>
  <si>
    <t>BUS</t>
  </si>
  <si>
    <t>DSN</t>
  </si>
  <si>
    <t>ENGR</t>
  </si>
  <si>
    <t>LAS</t>
  </si>
  <si>
    <t>Univ. Total    (excl. VetMed)</t>
  </si>
  <si>
    <t>Business</t>
  </si>
  <si>
    <t>Design</t>
  </si>
  <si>
    <t>Family and Consumer Sciences</t>
  </si>
  <si>
    <t>Education</t>
  </si>
  <si>
    <t>Fall Semester</t>
  </si>
  <si>
    <r>
      <t>Average Section</t>
    </r>
    <r>
      <rPr>
        <vertAlign val="superscript"/>
        <sz val="12"/>
        <rFont val="Univers 55"/>
        <family val="2"/>
      </rPr>
      <t>1</t>
    </r>
    <r>
      <rPr>
        <b/>
        <sz val="14"/>
        <rFont val="Univers 55"/>
        <family val="2"/>
      </rPr>
      <t xml:space="preserve"> Size by College and Course Level</t>
    </r>
  </si>
  <si>
    <t>HS</t>
  </si>
  <si>
    <t>Vet Med</t>
  </si>
  <si>
    <t>Lib</t>
  </si>
  <si>
    <t>Interdept</t>
  </si>
  <si>
    <t>GT</t>
  </si>
  <si>
    <t>Fall 2007</t>
  </si>
  <si>
    <t>Fall 2008</t>
  </si>
  <si>
    <t>Fall 2009</t>
  </si>
  <si>
    <t>Fall 2010</t>
  </si>
  <si>
    <t>Fall 2011</t>
  </si>
  <si>
    <t>Fall 2012</t>
  </si>
  <si>
    <t>CALS Total</t>
  </si>
  <si>
    <t>CALS Ugrad</t>
  </si>
  <si>
    <t>CALS Grad</t>
  </si>
  <si>
    <t>BUS Total</t>
  </si>
  <si>
    <t>BUS Ugrad</t>
  </si>
  <si>
    <t>Bus Grad</t>
  </si>
  <si>
    <t>DSN Total</t>
  </si>
  <si>
    <t>DSN Ugrad</t>
  </si>
  <si>
    <t>DSN Grad</t>
  </si>
  <si>
    <t>ENGR Total</t>
  </si>
  <si>
    <t>ENGR Ugrad</t>
  </si>
  <si>
    <t>Engr Grad</t>
  </si>
  <si>
    <t>HS Total</t>
  </si>
  <si>
    <t>HS Ugrad</t>
  </si>
  <si>
    <t>HS Grad</t>
  </si>
  <si>
    <t>LAS Total</t>
  </si>
  <si>
    <t>LAS Ugrad</t>
  </si>
  <si>
    <t>LAS Grad</t>
  </si>
  <si>
    <t>ISU Total</t>
  </si>
  <si>
    <t>ISU Ugrad</t>
  </si>
  <si>
    <t>ISU Grad</t>
  </si>
  <si>
    <t>2009 Ugrad</t>
  </si>
  <si>
    <t>2009 Grad</t>
  </si>
  <si>
    <t>2010 Ugrad</t>
  </si>
  <si>
    <t>2010 Grad</t>
  </si>
  <si>
    <t>2011 Ugrad</t>
  </si>
  <si>
    <t>2011 Grad</t>
  </si>
  <si>
    <t>2012 Ugrad</t>
  </si>
  <si>
    <t>2012 Grad</t>
  </si>
  <si>
    <t>CALS</t>
  </si>
  <si>
    <t>ISU</t>
  </si>
  <si>
    <t>Ugrad</t>
  </si>
  <si>
    <t>Grad</t>
  </si>
  <si>
    <t>ISU TOTAL</t>
  </si>
  <si>
    <t>Undergraduate Average Section Size</t>
  </si>
  <si>
    <t>Fall 2013</t>
  </si>
  <si>
    <t>2013</t>
  </si>
  <si>
    <t>Fall 2014</t>
  </si>
  <si>
    <t>Fall 2015</t>
  </si>
  <si>
    <t>2014</t>
  </si>
  <si>
    <t>2015</t>
  </si>
  <si>
    <t>Fall 2016</t>
  </si>
  <si>
    <t>2016</t>
  </si>
  <si>
    <t>Lower Undergraduate</t>
  </si>
  <si>
    <t>Upper Undergraduate</t>
  </si>
  <si>
    <t>Undergraduate Total</t>
  </si>
  <si>
    <t>(VM  excluded)</t>
  </si>
  <si>
    <t>Colleges Total</t>
  </si>
  <si>
    <t>(VM, Libr, Indpt. excluded)</t>
  </si>
  <si>
    <t xml:space="preserve">Univ. Total </t>
  </si>
  <si>
    <t xml:space="preserve">Univ. Total  </t>
  </si>
  <si>
    <t xml:space="preserve">Colleges Total </t>
  </si>
  <si>
    <t>Univ. Total</t>
  </si>
  <si>
    <t>Fall 2017</t>
  </si>
  <si>
    <t>2017</t>
  </si>
  <si>
    <t>2009</t>
  </si>
  <si>
    <r>
      <rPr>
        <b/>
        <sz val="10"/>
        <rFont val="Univers 55"/>
      </rPr>
      <t xml:space="preserve">Notes for updating:  </t>
    </r>
    <r>
      <rPr>
        <sz val="10"/>
        <rFont val="Univers 55"/>
      </rPr>
      <t>Earlier years are hidden columns, so "unhide" all columns before you begin.  Insert new columns for new year and enter data.  Move College Name to be directly above the earliest year to be included in this year's graph.</t>
    </r>
  </si>
  <si>
    <t>Be sure to use the "insert/copy" method for adding the new year to the ISU Total, as that will allow it to be automatically included in the graph.  Hide columns for unused years.  Ready to go.</t>
  </si>
  <si>
    <r>
      <t>2014</t>
    </r>
    <r>
      <rPr>
        <b/>
        <vertAlign val="superscript"/>
        <sz val="10"/>
        <rFont val="Univers 55"/>
      </rPr>
      <t xml:space="preserve"> 2</t>
    </r>
  </si>
  <si>
    <t xml:space="preserve"> Fall Semester</t>
  </si>
  <si>
    <t xml:space="preserve"> Agriculture and Life Sciences</t>
  </si>
  <si>
    <t xml:space="preserve"> Business</t>
  </si>
  <si>
    <t xml:space="preserve"> Design</t>
  </si>
  <si>
    <t xml:space="preserve"> Engineering</t>
  </si>
  <si>
    <t xml:space="preserve"> Human Sciences</t>
  </si>
  <si>
    <t xml:space="preserve"> Liberal Arts and Sciences</t>
  </si>
  <si>
    <t>Fall 2018</t>
  </si>
  <si>
    <t>2018</t>
  </si>
  <si>
    <t>Engineering</t>
  </si>
  <si>
    <t>Human Sci</t>
  </si>
  <si>
    <r>
      <t>Average Section</t>
    </r>
    <r>
      <rPr>
        <vertAlign val="superscript"/>
        <sz val="12"/>
        <rFont val="Univers 55"/>
      </rPr>
      <t>1</t>
    </r>
    <r>
      <rPr>
        <b/>
        <sz val="14"/>
        <rFont val="Univers 55"/>
        <family val="2"/>
      </rPr>
      <t xml:space="preserve"> Size by College and Course Level</t>
    </r>
  </si>
  <si>
    <t>Fall 2019</t>
  </si>
  <si>
    <t>2019</t>
  </si>
  <si>
    <r>
      <t xml:space="preserve"> Total</t>
    </r>
    <r>
      <rPr>
        <b/>
        <sz val="1"/>
        <rFont val="Univers 45 Light"/>
      </rPr>
      <t xml:space="preserve"> </t>
    </r>
    <r>
      <rPr>
        <vertAlign val="superscript"/>
        <sz val="10"/>
        <rFont val="Univers 45 Light"/>
      </rPr>
      <t>2</t>
    </r>
  </si>
  <si>
    <r>
      <t>2</t>
    </r>
    <r>
      <rPr>
        <sz val="10"/>
        <rFont val="ITC Berkeley Oldstyle Std"/>
        <family val="1"/>
      </rPr>
      <t xml:space="preserve"> Beginning Fall 2014, all data are sourced from the e-Data warehouse.</t>
    </r>
  </si>
  <si>
    <t>Fall 2020</t>
  </si>
  <si>
    <t>2020</t>
  </si>
  <si>
    <t>Five year Ave</t>
  </si>
  <si>
    <t xml:space="preserve"> Human Sci</t>
  </si>
  <si>
    <t>Graduate Average Section Size</t>
  </si>
  <si>
    <t>Five-year Rolling Average</t>
  </si>
  <si>
    <t xml:space="preserve"> continued</t>
  </si>
  <si>
    <t>2021</t>
  </si>
  <si>
    <t>Ag &amp; Life Sci</t>
  </si>
  <si>
    <t>Fall 2021</t>
  </si>
  <si>
    <t>Fall 2022</t>
  </si>
  <si>
    <t>2022</t>
  </si>
  <si>
    <t>Fall 2023</t>
  </si>
  <si>
    <t>2023</t>
  </si>
  <si>
    <r>
      <t>1</t>
    </r>
    <r>
      <rPr>
        <sz val="10"/>
        <rFont val="ITC Berkeley Oldstyle Std"/>
        <family val="1"/>
      </rPr>
      <t xml:space="preserve"> Section size is based on sections taught as lecture, discussion, laboratory, combination, and studio.</t>
    </r>
  </si>
  <si>
    <t xml:space="preserve">  College of Veterinary Medicine Professional courses were excluded from all calculations.</t>
  </si>
  <si>
    <r>
      <t>2</t>
    </r>
    <r>
      <rPr>
        <sz val="10"/>
        <rFont val="ITC Berkeley Oldstyle Std"/>
        <family val="1"/>
      </rPr>
      <t xml:space="preserve"> Total calculations include Library, Interdisciplinary; and College of Veterinary Medicine undergraduate and graduate course sections.</t>
    </r>
  </si>
  <si>
    <t>2024</t>
  </si>
  <si>
    <r>
      <t>2024</t>
    </r>
    <r>
      <rPr>
        <b/>
        <sz val="4"/>
        <rFont val="Univers 55"/>
      </rPr>
      <t xml:space="preserve"> </t>
    </r>
    <r>
      <rPr>
        <b/>
        <vertAlign val="superscript"/>
        <sz val="10"/>
        <rFont val="Univers 55"/>
      </rPr>
      <t>3</t>
    </r>
  </si>
  <si>
    <t>Office of Institutional Research (Sources: DataMart and e-Data Warehouse)</t>
  </si>
  <si>
    <t>Last Updated: 1/8/2025</t>
  </si>
  <si>
    <t>Fall 2024</t>
  </si>
  <si>
    <t>(VM  Prof excluded)</t>
  </si>
  <si>
    <t>(VM Prof excluded)</t>
  </si>
  <si>
    <r>
      <t>3</t>
    </r>
    <r>
      <rPr>
        <sz val="10"/>
        <rFont val="ITC Berkeley Oldstyle Std"/>
        <family val="1"/>
      </rPr>
      <t xml:space="preserve"> Beginning Fall 2024, section size data is sourced from the ISU DataMart using data from Workday.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</si>
</sst>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
    <numFmt numFmtId="166" formatCode="??0.0%"/>
  </numFmts>
  <fonts count="54">
    <font>
      <sz val="10"/>
      <name val="Univers 55"/>
    </font>
    <font>
      <sz val="14"/>
      <name val="Univers 75 Black"/>
    </font>
    <font>
      <sz val="7"/>
      <name val="Univers 55"/>
      <family val="2"/>
    </font>
    <font>
      <sz val="10"/>
      <name val="Berkeley Italic"/>
    </font>
    <font>
      <sz val="10"/>
      <name val="Univers 55"/>
      <family val="2"/>
    </font>
    <font>
      <vertAlign val="superscript"/>
      <sz val="9"/>
      <name val="Univers 55"/>
      <family val="2"/>
    </font>
    <font>
      <b/>
      <sz val="14"/>
      <name val="Univers 55"/>
      <family val="2"/>
    </font>
    <font>
      <i/>
      <sz val="10"/>
      <name val="Berkeley"/>
      <family val="1"/>
    </font>
    <font>
      <b/>
      <sz val="10"/>
      <name val="Univers 55"/>
      <family val="2"/>
    </font>
    <font>
      <vertAlign val="superscript"/>
      <sz val="12"/>
      <name val="Univers 55"/>
      <family val="2"/>
    </font>
    <font>
      <sz val="7"/>
      <name val="Univers 55"/>
      <family val="2"/>
    </font>
    <font>
      <i/>
      <sz val="7"/>
      <name val="Univers 45 Light"/>
      <family val="2"/>
    </font>
    <font>
      <sz val="10"/>
      <name val="Univers 55"/>
      <family val="2"/>
    </font>
    <font>
      <sz val="10"/>
      <color indexed="10"/>
      <name val="Univers 55"/>
      <family val="2"/>
    </font>
    <font>
      <sz val="10"/>
      <color indexed="12"/>
      <name val="Univers 55"/>
      <family val="2"/>
    </font>
    <font>
      <b/>
      <i/>
      <sz val="9"/>
      <name val="Univers 55"/>
      <family val="2"/>
    </font>
    <font>
      <sz val="11"/>
      <color indexed="10"/>
      <name val="Calibri"/>
      <family val="2"/>
    </font>
    <font>
      <sz val="10"/>
      <color indexed="10"/>
      <name val="Univers 55"/>
      <family val="2"/>
    </font>
    <font>
      <b/>
      <sz val="9"/>
      <name val="Univers 55"/>
      <family val="2"/>
    </font>
    <font>
      <sz val="9"/>
      <name val="Univers 55"/>
      <family val="2"/>
    </font>
    <font>
      <b/>
      <sz val="9"/>
      <name val="Univers 45 Light"/>
      <family val="2"/>
    </font>
    <font>
      <sz val="10"/>
      <color indexed="0"/>
      <name val="Univers 55"/>
      <family val="2"/>
    </font>
    <font>
      <sz val="10"/>
      <color indexed="0"/>
      <name val="Univers 55"/>
    </font>
    <font>
      <sz val="10"/>
      <color indexed="0"/>
      <name val="Univers 55"/>
      <family val="2"/>
    </font>
    <font>
      <sz val="10"/>
      <color indexed="0"/>
      <name val="Univers 55"/>
    </font>
    <font>
      <sz val="10"/>
      <color indexed="4"/>
      <name val="Univers 55"/>
      <family val="2"/>
    </font>
    <font>
      <sz val="10"/>
      <color indexed="4"/>
      <name val="Univers 55"/>
      <family val="2"/>
    </font>
    <font>
      <b/>
      <sz val="10"/>
      <name val="Univers 45 Light"/>
      <family val="2"/>
    </font>
    <font>
      <i/>
      <sz val="9"/>
      <name val="Berkeley"/>
      <family val="1"/>
    </font>
    <font>
      <sz val="9"/>
      <name val="Univers 65 Bold"/>
    </font>
    <font>
      <sz val="10"/>
      <color rgb="FFFF0000"/>
      <name val="Univers 55"/>
      <family val="2"/>
    </font>
    <font>
      <b/>
      <sz val="10"/>
      <color rgb="FFFF0000"/>
      <name val="Univers 45 Light"/>
      <family val="2"/>
    </font>
    <font>
      <i/>
      <sz val="9"/>
      <color rgb="FFFF0000"/>
      <name val="Univers 55"/>
    </font>
    <font>
      <i/>
      <sz val="10"/>
      <name val="Univers 55"/>
    </font>
    <font>
      <i/>
      <sz val="8"/>
      <name val="Univers 45 Light"/>
    </font>
    <font>
      <i/>
      <sz val="8"/>
      <color theme="1"/>
      <name val="Univers 45 Light"/>
    </font>
    <font>
      <i/>
      <sz val="8"/>
      <color theme="1"/>
      <name val="Univers 55"/>
    </font>
    <font>
      <b/>
      <i/>
      <sz val="8"/>
      <name val="Univers 55"/>
    </font>
    <font>
      <b/>
      <i/>
      <sz val="8"/>
      <name val="Univers 45 Light"/>
      <family val="2"/>
    </font>
    <font>
      <sz val="10"/>
      <name val="Univers 75 Black"/>
    </font>
    <font>
      <b/>
      <sz val="10"/>
      <name val="Univers LT Std 45 Light"/>
      <family val="2"/>
    </font>
    <font>
      <b/>
      <sz val="10"/>
      <name val="Univers 55"/>
    </font>
    <font>
      <b/>
      <vertAlign val="superscript"/>
      <sz val="10"/>
      <name val="Univers 55"/>
    </font>
    <font>
      <vertAlign val="superscript"/>
      <sz val="12"/>
      <name val="Univers 55"/>
    </font>
    <font>
      <vertAlign val="superscript"/>
      <sz val="10"/>
      <name val="Univers 45 Light"/>
    </font>
    <font>
      <b/>
      <sz val="1"/>
      <name val="Univers 45 Light"/>
    </font>
    <font>
      <vertAlign val="superscript"/>
      <sz val="10"/>
      <name val="ITC Berkeley Oldstyle Std"/>
      <family val="1"/>
    </font>
    <font>
      <sz val="10"/>
      <name val="ITC Berkeley Oldstyle Std"/>
      <family val="1"/>
    </font>
    <font>
      <b/>
      <i/>
      <sz val="9"/>
      <color rgb="FFFF0000"/>
      <name val="Univers 55"/>
      <family val="2"/>
    </font>
    <font>
      <b/>
      <i/>
      <sz val="9"/>
      <color rgb="FF7030A0"/>
      <name val="Univers 55"/>
      <family val="2"/>
    </font>
    <font>
      <sz val="9"/>
      <color rgb="FFFF0000"/>
      <name val="Univers 55"/>
      <family val="2"/>
    </font>
    <font>
      <b/>
      <sz val="14"/>
      <name val="Univers 45 Light"/>
      <family val="2"/>
    </font>
    <font>
      <b/>
      <sz val="14"/>
      <name val="Univers 55"/>
    </font>
    <font>
      <b/>
      <sz val="4"/>
      <name val="Univers 55"/>
    </font>
  </fonts>
  <fills count="7">
    <fill>
      <patternFill patternType="none"/>
    </fill>
    <fill>
      <patternFill patternType="gray125"/>
    </fill>
    <fill>
      <patternFill patternType="solid">
        <fgColor indexed="44"/>
      </patternFill>
    </fill>
    <fill>
      <patternFill patternType="solid">
        <fgColor indexed="43"/>
      </patternFill>
    </fill>
    <fill>
      <patternFill patternType="solid">
        <fgColor indexed="42"/>
      </patternFill>
    </fill>
    <fill>
      <patternFill patternType="solid">
        <fgColor indexed="12"/>
      </patternFill>
    </fill>
    <fill>
      <patternFill patternType="solid">
        <fgColor theme="0" tint="-4.9989318521683403E-2"/>
        <bgColor indexed="64"/>
      </patternFill>
    </fill>
  </fills>
  <borders count="36">
    <border>
      <left/>
      <right/>
      <top/>
      <bottom/>
      <diagonal/>
    </border>
    <border>
      <left/>
      <right/>
      <top/>
      <bottom style="hair">
        <color indexed="64"/>
      </bottom>
      <diagonal/>
    </border>
    <border>
      <left/>
      <right style="thick">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ck">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ck">
        <color indexed="64"/>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hair">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right style="thick">
        <color rgb="FFFF0000"/>
      </right>
      <top/>
      <bottom/>
      <diagonal/>
    </border>
  </borders>
  <cellStyleXfs count="2">
    <xf numFmtId="0" fontId="0" fillId="0" borderId="0" applyAlignment="0"/>
    <xf numFmtId="0" fontId="16" fillId="0" borderId="0" applyFont="0" applyBorder="0" applyAlignment="0" applyProtection="0"/>
  </cellStyleXfs>
  <cellXfs count="312">
    <xf numFmtId="0" fontId="0" fillId="0" borderId="0" xfId="0" applyAlignment="1"/>
    <xf numFmtId="0" fontId="2" fillId="0" borderId="0" xfId="0" applyFont="1" applyAlignment="1"/>
    <xf numFmtId="0" fontId="3" fillId="0" borderId="0" xfId="0" applyFont="1" applyAlignment="1">
      <alignment horizontal="left"/>
    </xf>
    <xf numFmtId="0" fontId="0" fillId="0" borderId="0" xfId="0" applyAlignment="1">
      <alignment horizontal="left"/>
    </xf>
    <xf numFmtId="164" fontId="3" fillId="0" borderId="0" xfId="0" applyNumberFormat="1" applyFont="1" applyAlignment="1">
      <alignment horizontal="left"/>
    </xf>
    <xf numFmtId="164" fontId="0" fillId="0" borderId="0" xfId="0" applyNumberFormat="1" applyAlignment="1">
      <alignment horizontal="center"/>
    </xf>
    <xf numFmtId="164" fontId="1" fillId="0" borderId="0" xfId="0" applyNumberFormat="1" applyFont="1" applyAlignment="1">
      <alignment horizontal="center"/>
    </xf>
    <xf numFmtId="164" fontId="3" fillId="0" borderId="0" xfId="0" applyNumberFormat="1" applyFont="1" applyAlignment="1">
      <alignment horizontal="center"/>
    </xf>
    <xf numFmtId="164" fontId="2" fillId="0" borderId="0" xfId="0" applyNumberFormat="1" applyFont="1" applyAlignment="1">
      <alignment horizontal="center"/>
    </xf>
    <xf numFmtId="164" fontId="0" fillId="0" borderId="0" xfId="0" applyNumberFormat="1" applyAlignment="1">
      <alignment horizontal="left"/>
    </xf>
    <xf numFmtId="0" fontId="4" fillId="0" borderId="0" xfId="0" applyFont="1" applyAlignment="1"/>
    <xf numFmtId="165" fontId="4" fillId="0" borderId="0" xfId="0" applyNumberFormat="1" applyFont="1" applyAlignment="1">
      <alignment horizontal="center"/>
    </xf>
    <xf numFmtId="164" fontId="4" fillId="0" borderId="0" xfId="0" applyNumberFormat="1" applyFont="1" applyAlignment="1">
      <alignment horizontal="center"/>
    </xf>
    <xf numFmtId="0" fontId="4" fillId="0" borderId="0" xfId="0" applyFont="1" applyAlignment="1">
      <alignment horizontal="left"/>
    </xf>
    <xf numFmtId="165" fontId="0" fillId="0" borderId="0" xfId="0" applyNumberFormat="1" applyAlignment="1"/>
    <xf numFmtId="0" fontId="6" fillId="0" borderId="0" xfId="0" applyFont="1" applyAlignment="1">
      <alignment horizontal="left"/>
    </xf>
    <xf numFmtId="0" fontId="8" fillId="0" borderId="0" xfId="0" applyFont="1" applyAlignment="1"/>
    <xf numFmtId="0" fontId="7" fillId="0" borderId="0" xfId="0" applyFont="1" applyAlignment="1">
      <alignment horizontal="left"/>
    </xf>
    <xf numFmtId="164" fontId="11" fillId="0" borderId="0" xfId="0" applyNumberFormat="1" applyFont="1" applyAlignment="1">
      <alignment horizontal="center"/>
    </xf>
    <xf numFmtId="0" fontId="0" fillId="0" borderId="1" xfId="0" applyBorder="1" applyAlignment="1"/>
    <xf numFmtId="0" fontId="0" fillId="0" borderId="1" xfId="0" applyBorder="1" applyAlignment="1">
      <alignment wrapText="1"/>
    </xf>
    <xf numFmtId="164" fontId="8" fillId="0" borderId="2" xfId="0" applyNumberFormat="1" applyFont="1" applyBorder="1" applyAlignment="1">
      <alignment horizontal="center"/>
    </xf>
    <xf numFmtId="0" fontId="8" fillId="0" borderId="2" xfId="0" applyFont="1" applyBorder="1" applyAlignment="1">
      <alignment horizontal="center"/>
    </xf>
    <xf numFmtId="0" fontId="2" fillId="0" borderId="0" xfId="0" applyFont="1" applyAlignment="1">
      <alignment vertical="center"/>
    </xf>
    <xf numFmtId="0" fontId="10" fillId="0" borderId="0" xfId="0" applyFont="1" applyAlignment="1">
      <alignment vertical="center"/>
    </xf>
    <xf numFmtId="164" fontId="10" fillId="0" borderId="0" xfId="0" applyNumberFormat="1" applyFont="1" applyAlignment="1">
      <alignment horizontal="right" vertical="center"/>
    </xf>
    <xf numFmtId="0" fontId="0" fillId="0" borderId="0" xfId="0" applyAlignment="1">
      <alignment vertical="center"/>
    </xf>
    <xf numFmtId="0" fontId="10" fillId="0" borderId="0" xfId="0" applyFont="1" applyAlignment="1"/>
    <xf numFmtId="0" fontId="12" fillId="0" borderId="0" xfId="0" applyFont="1" applyAlignment="1"/>
    <xf numFmtId="164" fontId="12" fillId="0" borderId="3" xfId="0" applyNumberFormat="1" applyFont="1" applyBorder="1" applyAlignment="1">
      <alignment horizontal="center"/>
    </xf>
    <xf numFmtId="164" fontId="12" fillId="0" borderId="4" xfId="0" applyNumberFormat="1" applyFont="1" applyBorder="1" applyAlignment="1">
      <alignment horizontal="center"/>
    </xf>
    <xf numFmtId="164" fontId="12" fillId="0" borderId="2" xfId="0" applyNumberFormat="1" applyFont="1" applyBorder="1" applyAlignment="1">
      <alignment horizontal="center"/>
    </xf>
    <xf numFmtId="0" fontId="12" fillId="0" borderId="4" xfId="0" applyFont="1" applyBorder="1" applyAlignment="1">
      <alignment horizontal="center"/>
    </xf>
    <xf numFmtId="0" fontId="12" fillId="0" borderId="2" xfId="0" applyFont="1" applyBorder="1" applyAlignment="1">
      <alignment horizontal="center"/>
    </xf>
    <xf numFmtId="0" fontId="12" fillId="0" borderId="0" xfId="0" applyFont="1" applyAlignment="1">
      <alignment horizontal="center"/>
    </xf>
    <xf numFmtId="0" fontId="12" fillId="0" borderId="3" xfId="0" applyFont="1" applyBorder="1" applyAlignment="1">
      <alignment horizontal="center"/>
    </xf>
    <xf numFmtId="0" fontId="12" fillId="0" borderId="1" xfId="0" applyFont="1" applyBorder="1" applyAlignment="1"/>
    <xf numFmtId="0" fontId="12" fillId="0" borderId="1" xfId="0" applyFont="1" applyBorder="1" applyAlignment="1">
      <alignment horizontal="left"/>
    </xf>
    <xf numFmtId="165" fontId="12" fillId="0" borderId="5" xfId="0" applyNumberFormat="1" applyFont="1" applyBorder="1" applyAlignment="1">
      <alignment horizontal="center"/>
    </xf>
    <xf numFmtId="165" fontId="12" fillId="0" borderId="6" xfId="0" applyNumberFormat="1" applyFont="1" applyBorder="1" applyAlignment="1">
      <alignment horizontal="center"/>
    </xf>
    <xf numFmtId="164" fontId="12" fillId="3" borderId="7" xfId="0" applyNumberFormat="1" applyFont="1" applyFill="1" applyBorder="1" applyAlignment="1">
      <alignment horizontal="center"/>
    </xf>
    <xf numFmtId="164" fontId="12" fillId="4" borderId="7" xfId="0" applyNumberFormat="1" applyFont="1" applyFill="1" applyBorder="1" applyAlignment="1">
      <alignment horizontal="center"/>
    </xf>
    <xf numFmtId="165" fontId="12" fillId="0" borderId="1" xfId="0" applyNumberFormat="1" applyFont="1" applyBorder="1" applyAlignment="1">
      <alignment horizontal="center"/>
    </xf>
    <xf numFmtId="164" fontId="12" fillId="2" borderId="1" xfId="0" applyNumberFormat="1" applyFont="1" applyFill="1" applyBorder="1" applyAlignment="1">
      <alignment horizontal="center"/>
    </xf>
    <xf numFmtId="0" fontId="12" fillId="0" borderId="8" xfId="0" applyFont="1" applyBorder="1" applyAlignment="1"/>
    <xf numFmtId="0" fontId="12" fillId="0" borderId="8" xfId="0" applyFont="1" applyBorder="1" applyAlignment="1">
      <alignment horizontal="left"/>
    </xf>
    <xf numFmtId="165" fontId="12" fillId="0" borderId="9" xfId="0" applyNumberFormat="1" applyFont="1" applyBorder="1" applyAlignment="1">
      <alignment horizontal="center"/>
    </xf>
    <xf numFmtId="165" fontId="12" fillId="0" borderId="10" xfId="0" applyNumberFormat="1" applyFont="1" applyBorder="1" applyAlignment="1">
      <alignment horizontal="center"/>
    </xf>
    <xf numFmtId="164" fontId="12" fillId="3" borderId="11" xfId="0" applyNumberFormat="1" applyFont="1" applyFill="1" applyBorder="1" applyAlignment="1">
      <alignment horizontal="center"/>
    </xf>
    <xf numFmtId="164" fontId="12" fillId="4" borderId="11" xfId="0" applyNumberFormat="1" applyFont="1" applyFill="1" applyBorder="1" applyAlignment="1">
      <alignment horizontal="center"/>
    </xf>
    <xf numFmtId="165" fontId="12" fillId="0" borderId="8" xfId="0" applyNumberFormat="1" applyFont="1" applyBorder="1" applyAlignment="1">
      <alignment horizontal="center"/>
    </xf>
    <xf numFmtId="164" fontId="12" fillId="2" borderId="8" xfId="0" applyNumberFormat="1" applyFont="1" applyFill="1" applyBorder="1" applyAlignment="1">
      <alignment horizontal="center"/>
    </xf>
    <xf numFmtId="0" fontId="12" fillId="0" borderId="12" xfId="0" applyFont="1" applyBorder="1" applyAlignment="1"/>
    <xf numFmtId="0" fontId="12" fillId="0" borderId="12" xfId="0" applyFont="1" applyBorder="1" applyAlignment="1">
      <alignment horizontal="left"/>
    </xf>
    <xf numFmtId="165" fontId="12" fillId="0" borderId="13" xfId="0" applyNumberFormat="1" applyFont="1" applyBorder="1" applyAlignment="1">
      <alignment horizontal="center"/>
    </xf>
    <xf numFmtId="165" fontId="12" fillId="0" borderId="14" xfId="0" applyNumberFormat="1" applyFont="1" applyBorder="1" applyAlignment="1">
      <alignment horizontal="center"/>
    </xf>
    <xf numFmtId="164" fontId="12" fillId="3" borderId="15" xfId="0" applyNumberFormat="1" applyFont="1" applyFill="1" applyBorder="1" applyAlignment="1">
      <alignment horizontal="center"/>
    </xf>
    <xf numFmtId="164" fontId="12" fillId="4" borderId="15" xfId="0" applyNumberFormat="1" applyFont="1" applyFill="1" applyBorder="1" applyAlignment="1">
      <alignment horizontal="center"/>
    </xf>
    <xf numFmtId="165" fontId="12" fillId="0" borderId="12" xfId="0" applyNumberFormat="1" applyFont="1" applyBorder="1" applyAlignment="1">
      <alignment horizontal="center"/>
    </xf>
    <xf numFmtId="164" fontId="12" fillId="2" borderId="12" xfId="0" applyNumberFormat="1" applyFont="1" applyFill="1" applyBorder="1" applyAlignment="1">
      <alignment horizontal="center"/>
    </xf>
    <xf numFmtId="165" fontId="13" fillId="0" borderId="5" xfId="0" applyNumberFormat="1" applyFont="1" applyBorder="1" applyAlignment="1">
      <alignment horizontal="center"/>
    </xf>
    <xf numFmtId="165" fontId="13" fillId="0" borderId="6" xfId="0" applyNumberFormat="1" applyFont="1" applyBorder="1" applyAlignment="1">
      <alignment horizontal="center"/>
    </xf>
    <xf numFmtId="165" fontId="12" fillId="0" borderId="0" xfId="0" applyNumberFormat="1" applyFont="1" applyAlignment="1">
      <alignment horizontal="center"/>
    </xf>
    <xf numFmtId="164" fontId="12" fillId="0" borderId="7" xfId="0" applyNumberFormat="1" applyFont="1" applyBorder="1" applyAlignment="1">
      <alignment horizontal="center"/>
    </xf>
    <xf numFmtId="164" fontId="12" fillId="0" borderId="1" xfId="0" applyNumberFormat="1" applyFont="1" applyBorder="1" applyAlignment="1">
      <alignment horizontal="center"/>
    </xf>
    <xf numFmtId="165" fontId="12" fillId="0" borderId="5" xfId="0" quotePrefix="1" applyNumberFormat="1" applyFont="1" applyBorder="1" applyAlignment="1">
      <alignment horizontal="center"/>
    </xf>
    <xf numFmtId="165" fontId="12" fillId="0" borderId="6" xfId="0" quotePrefix="1" applyNumberFormat="1" applyFont="1" applyBorder="1" applyAlignment="1">
      <alignment horizontal="center"/>
    </xf>
    <xf numFmtId="0" fontId="14" fillId="0" borderId="1" xfId="0" applyFont="1" applyBorder="1" applyAlignment="1"/>
    <xf numFmtId="0" fontId="14" fillId="0" borderId="1" xfId="0" applyFont="1" applyBorder="1" applyAlignment="1">
      <alignment wrapText="1"/>
    </xf>
    <xf numFmtId="165" fontId="14" fillId="0" borderId="5" xfId="0" applyNumberFormat="1" applyFont="1" applyBorder="1" applyAlignment="1">
      <alignment horizontal="center"/>
    </xf>
    <xf numFmtId="165" fontId="14" fillId="0" borderId="6" xfId="0" applyNumberFormat="1" applyFont="1" applyBorder="1" applyAlignment="1">
      <alignment horizontal="center"/>
    </xf>
    <xf numFmtId="164" fontId="14" fillId="0" borderId="7" xfId="0" applyNumberFormat="1" applyFont="1" applyBorder="1" applyAlignment="1">
      <alignment horizontal="center"/>
    </xf>
    <xf numFmtId="165" fontId="14" fillId="0" borderId="1" xfId="0" applyNumberFormat="1" applyFont="1" applyBorder="1" applyAlignment="1">
      <alignment horizontal="center"/>
    </xf>
    <xf numFmtId="164" fontId="14" fillId="0" borderId="1" xfId="0" applyNumberFormat="1" applyFont="1" applyBorder="1" applyAlignment="1">
      <alignment horizontal="center"/>
    </xf>
    <xf numFmtId="0" fontId="14" fillId="0" borderId="0" xfId="0" applyFont="1" applyAlignment="1"/>
    <xf numFmtId="0" fontId="0" fillId="5" borderId="0" xfId="0" applyFill="1" applyAlignment="1"/>
    <xf numFmtId="164" fontId="15" fillId="0" borderId="3" xfId="0" applyNumberFormat="1" applyFont="1" applyBorder="1" applyAlignment="1">
      <alignment horizontal="center"/>
    </xf>
    <xf numFmtId="164" fontId="15" fillId="0" borderId="4" xfId="0" applyNumberFormat="1"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0" xfId="0" applyFont="1" applyAlignment="1">
      <alignment horizontal="center"/>
    </xf>
    <xf numFmtId="165" fontId="17" fillId="0" borderId="5" xfId="0" applyNumberFormat="1" applyFont="1" applyBorder="1" applyAlignment="1">
      <alignment horizontal="center"/>
    </xf>
    <xf numFmtId="0" fontId="18" fillId="0" borderId="16" xfId="0" applyFont="1" applyBorder="1" applyAlignment="1">
      <alignment horizontal="left"/>
    </xf>
    <xf numFmtId="0" fontId="19" fillId="0" borderId="0" xfId="0" applyFont="1" applyAlignment="1"/>
    <xf numFmtId="0" fontId="20" fillId="0" borderId="17" xfId="0" applyFont="1" applyBorder="1" applyAlignment="1">
      <alignment horizontal="left"/>
    </xf>
    <xf numFmtId="164" fontId="19" fillId="0" borderId="17" xfId="0" applyNumberFormat="1" applyFont="1" applyBorder="1" applyAlignment="1">
      <alignment horizontal="center"/>
    </xf>
    <xf numFmtId="0" fontId="19" fillId="0" borderId="0" xfId="0" applyFont="1" applyAlignment="1">
      <alignment vertical="center"/>
    </xf>
    <xf numFmtId="164" fontId="19" fillId="0" borderId="0" xfId="0" applyNumberFormat="1" applyFont="1" applyAlignment="1">
      <alignment horizontal="right" vertical="center"/>
    </xf>
    <xf numFmtId="0" fontId="19" fillId="0" borderId="1" xfId="0" applyFont="1" applyBorder="1" applyAlignment="1">
      <alignment vertical="center"/>
    </xf>
    <xf numFmtId="164" fontId="19" fillId="0" borderId="1" xfId="0" applyNumberFormat="1" applyFont="1" applyBorder="1" applyAlignment="1">
      <alignment horizontal="right" vertical="center"/>
    </xf>
    <xf numFmtId="0" fontId="20" fillId="0" borderId="0" xfId="0" applyFont="1" applyAlignment="1">
      <alignment horizontal="left"/>
    </xf>
    <xf numFmtId="164" fontId="19" fillId="0" borderId="0" xfId="0" applyNumberFormat="1" applyFont="1" applyAlignment="1">
      <alignment horizontal="center"/>
    </xf>
    <xf numFmtId="0" fontId="19" fillId="0" borderId="16" xfId="0" applyFont="1" applyBorder="1" applyAlignment="1">
      <alignment vertical="center"/>
    </xf>
    <xf numFmtId="164" fontId="19" fillId="0" borderId="16" xfId="0" applyNumberFormat="1" applyFont="1" applyBorder="1" applyAlignment="1">
      <alignment horizontal="right" vertical="center"/>
    </xf>
    <xf numFmtId="0" fontId="19" fillId="0" borderId="0" xfId="0" applyFont="1" applyAlignment="1">
      <alignment horizontal="left" vertical="center"/>
    </xf>
    <xf numFmtId="1" fontId="18" fillId="0" borderId="16" xfId="0" applyNumberFormat="1" applyFont="1" applyBorder="1" applyAlignment="1">
      <alignment horizontal="right" vertical="center"/>
    </xf>
    <xf numFmtId="165" fontId="21" fillId="0" borderId="5" xfId="0" applyNumberFormat="1" applyFont="1" applyBorder="1" applyAlignment="1">
      <alignment horizontal="center"/>
    </xf>
    <xf numFmtId="165" fontId="21" fillId="0" borderId="6" xfId="0" applyNumberFormat="1" applyFont="1" applyBorder="1" applyAlignment="1">
      <alignment horizontal="center"/>
    </xf>
    <xf numFmtId="165" fontId="21" fillId="0" borderId="9" xfId="0" applyNumberFormat="1" applyFont="1" applyBorder="1" applyAlignment="1">
      <alignment horizontal="center"/>
    </xf>
    <xf numFmtId="165" fontId="21" fillId="0" borderId="10" xfId="0" applyNumberFormat="1" applyFont="1" applyBorder="1" applyAlignment="1">
      <alignment horizontal="center"/>
    </xf>
    <xf numFmtId="165" fontId="21" fillId="0" borderId="13" xfId="0" applyNumberFormat="1" applyFont="1" applyBorder="1" applyAlignment="1">
      <alignment horizontal="center"/>
    </xf>
    <xf numFmtId="165" fontId="21" fillId="0" borderId="14" xfId="0" applyNumberFormat="1" applyFont="1" applyBorder="1" applyAlignment="1">
      <alignment horizontal="center"/>
    </xf>
    <xf numFmtId="0" fontId="22" fillId="0" borderId="0" xfId="0" applyFont="1" applyAlignment="1"/>
    <xf numFmtId="165" fontId="23" fillId="0" borderId="5" xfId="0" applyNumberFormat="1" applyFont="1" applyBorder="1" applyAlignment="1">
      <alignment horizontal="center"/>
    </xf>
    <xf numFmtId="165" fontId="23" fillId="0" borderId="6" xfId="0" applyNumberFormat="1" applyFont="1" applyBorder="1" applyAlignment="1">
      <alignment horizontal="center"/>
    </xf>
    <xf numFmtId="165" fontId="23" fillId="0" borderId="9" xfId="0" applyNumberFormat="1" applyFont="1" applyBorder="1" applyAlignment="1">
      <alignment horizontal="center"/>
    </xf>
    <xf numFmtId="165" fontId="23" fillId="0" borderId="10" xfId="0" applyNumberFormat="1" applyFont="1" applyBorder="1" applyAlignment="1">
      <alignment horizontal="center"/>
    </xf>
    <xf numFmtId="165" fontId="23" fillId="0" borderId="13" xfId="0" applyNumberFormat="1" applyFont="1" applyBorder="1" applyAlignment="1">
      <alignment horizontal="center"/>
    </xf>
    <xf numFmtId="165" fontId="23" fillId="0" borderId="14" xfId="0" applyNumberFormat="1" applyFont="1" applyBorder="1" applyAlignment="1">
      <alignment horizontal="center"/>
    </xf>
    <xf numFmtId="0" fontId="24" fillId="0" borderId="0" xfId="0" applyFont="1" applyAlignment="1"/>
    <xf numFmtId="165" fontId="23" fillId="0" borderId="5" xfId="0" quotePrefix="1" applyNumberFormat="1" applyFont="1" applyBorder="1" applyAlignment="1">
      <alignment horizontal="center"/>
    </xf>
    <xf numFmtId="165" fontId="23" fillId="0" borderId="6" xfId="0" quotePrefix="1" applyNumberFormat="1" applyFont="1" applyBorder="1" applyAlignment="1">
      <alignment horizontal="center"/>
    </xf>
    <xf numFmtId="165" fontId="25" fillId="0" borderId="5" xfId="0" applyNumberFormat="1" applyFont="1" applyBorder="1" applyAlignment="1">
      <alignment horizontal="center"/>
    </xf>
    <xf numFmtId="165" fontId="25" fillId="0" borderId="6" xfId="0" applyNumberFormat="1" applyFont="1" applyBorder="1" applyAlignment="1">
      <alignment horizontal="center"/>
    </xf>
    <xf numFmtId="164" fontId="26" fillId="0" borderId="7" xfId="0" applyNumberFormat="1" applyFont="1" applyBorder="1" applyAlignment="1">
      <alignment horizontal="center"/>
    </xf>
    <xf numFmtId="165" fontId="26" fillId="0" borderId="6" xfId="0" applyNumberFormat="1" applyFont="1" applyBorder="1" applyAlignment="1">
      <alignment horizontal="center"/>
    </xf>
    <xf numFmtId="165" fontId="26" fillId="0" borderId="1" xfId="0" applyNumberFormat="1" applyFont="1" applyBorder="1" applyAlignment="1">
      <alignment horizontal="center"/>
    </xf>
    <xf numFmtId="164" fontId="26" fillId="0" borderId="1" xfId="0" applyNumberFormat="1" applyFont="1" applyBorder="1" applyAlignment="1">
      <alignment horizontal="center"/>
    </xf>
    <xf numFmtId="0" fontId="26" fillId="0" borderId="0" xfId="0" applyFont="1" applyAlignment="1"/>
    <xf numFmtId="165" fontId="23" fillId="0" borderId="1" xfId="0" applyNumberFormat="1" applyFont="1" applyBorder="1" applyAlignment="1">
      <alignment horizontal="center"/>
    </xf>
    <xf numFmtId="165" fontId="23" fillId="0" borderId="8" xfId="0" applyNumberFormat="1" applyFont="1" applyBorder="1" applyAlignment="1">
      <alignment horizontal="center"/>
    </xf>
    <xf numFmtId="165" fontId="23" fillId="0" borderId="12" xfId="0" applyNumberFormat="1" applyFont="1" applyBorder="1" applyAlignment="1">
      <alignment horizontal="center"/>
    </xf>
    <xf numFmtId="164" fontId="19" fillId="0" borderId="12" xfId="0" applyNumberFormat="1" applyFont="1" applyBorder="1" applyAlignment="1">
      <alignment horizontal="center"/>
    </xf>
    <xf numFmtId="0" fontId="30" fillId="0" borderId="0" xfId="0" applyFont="1" applyAlignment="1"/>
    <xf numFmtId="0" fontId="31" fillId="0" borderId="1" xfId="0" applyFont="1" applyBorder="1" applyAlignment="1">
      <alignment wrapText="1"/>
    </xf>
    <xf numFmtId="165" fontId="31" fillId="0" borderId="5" xfId="0" applyNumberFormat="1" applyFont="1" applyBorder="1" applyAlignment="1">
      <alignment horizontal="center"/>
    </xf>
    <xf numFmtId="165" fontId="31" fillId="0" borderId="6" xfId="0" applyNumberFormat="1" applyFont="1" applyBorder="1" applyAlignment="1">
      <alignment horizontal="center"/>
    </xf>
    <xf numFmtId="164" fontId="31" fillId="3" borderId="7" xfId="0" applyNumberFormat="1" applyFont="1" applyFill="1" applyBorder="1" applyAlignment="1">
      <alignment horizontal="center"/>
    </xf>
    <xf numFmtId="164" fontId="31" fillId="4" borderId="7" xfId="0" applyNumberFormat="1" applyFont="1" applyFill="1" applyBorder="1" applyAlignment="1">
      <alignment horizontal="center"/>
    </xf>
    <xf numFmtId="165" fontId="31" fillId="0" borderId="1" xfId="0" applyNumberFormat="1" applyFont="1" applyBorder="1" applyAlignment="1">
      <alignment horizontal="center"/>
    </xf>
    <xf numFmtId="164" fontId="31" fillId="2" borderId="1" xfId="0" applyNumberFormat="1" applyFont="1" applyFill="1" applyBorder="1" applyAlignment="1">
      <alignment horizontal="center"/>
    </xf>
    <xf numFmtId="0" fontId="31" fillId="0" borderId="0" xfId="0" applyFont="1" applyAlignment="1"/>
    <xf numFmtId="164" fontId="15" fillId="0" borderId="18" xfId="0" applyNumberFormat="1" applyFont="1" applyBorder="1" applyAlignment="1">
      <alignment horizontal="center"/>
    </xf>
    <xf numFmtId="164" fontId="15" fillId="0" borderId="19" xfId="0" applyNumberFormat="1" applyFont="1" applyBorder="1" applyAlignment="1">
      <alignment horizontal="center"/>
    </xf>
    <xf numFmtId="0" fontId="15" fillId="0" borderId="18" xfId="0" applyFont="1" applyBorder="1" applyAlignment="1">
      <alignment horizontal="center"/>
    </xf>
    <xf numFmtId="0" fontId="15" fillId="0" borderId="19" xfId="0" applyFont="1" applyBorder="1" applyAlignment="1">
      <alignment horizontal="center"/>
    </xf>
    <xf numFmtId="0" fontId="15" fillId="0" borderId="20" xfId="0" applyFont="1" applyBorder="1" applyAlignment="1">
      <alignment horizontal="center"/>
    </xf>
    <xf numFmtId="164" fontId="18" fillId="0" borderId="21" xfId="0" applyNumberFormat="1" applyFont="1" applyBorder="1" applyAlignment="1">
      <alignment horizontal="center"/>
    </xf>
    <xf numFmtId="0" fontId="18" fillId="0" borderId="21" xfId="0" applyFont="1" applyBorder="1" applyAlignment="1">
      <alignment horizontal="center"/>
    </xf>
    <xf numFmtId="0" fontId="18" fillId="0" borderId="20" xfId="0" applyFont="1" applyBorder="1" applyAlignment="1"/>
    <xf numFmtId="0" fontId="20" fillId="0" borderId="16" xfId="0" applyFont="1" applyBorder="1" applyAlignment="1">
      <alignment horizontal="left"/>
    </xf>
    <xf numFmtId="164" fontId="19" fillId="0" borderId="16" xfId="0" applyNumberFormat="1" applyFont="1" applyBorder="1" applyAlignment="1">
      <alignment horizontal="center"/>
    </xf>
    <xf numFmtId="164" fontId="19" fillId="0" borderId="22" xfId="0" applyNumberFormat="1" applyFont="1" applyBorder="1" applyAlignment="1">
      <alignment horizontal="center"/>
    </xf>
    <xf numFmtId="1" fontId="18" fillId="0" borderId="0" xfId="0" applyNumberFormat="1" applyFont="1" applyAlignment="1">
      <alignment horizontal="right" vertical="center"/>
    </xf>
    <xf numFmtId="164" fontId="8" fillId="0" borderId="0" xfId="0" applyNumberFormat="1" applyFont="1" applyAlignment="1">
      <alignment horizontal="center" vertical="center"/>
    </xf>
    <xf numFmtId="49" fontId="27" fillId="0" borderId="0" xfId="0" applyNumberFormat="1" applyFont="1" applyAlignment="1">
      <alignment horizontal="right" vertical="center"/>
    </xf>
    <xf numFmtId="0" fontId="27" fillId="0" borderId="0" xfId="0" applyFont="1" applyAlignment="1">
      <alignment horizontal="right" vertical="center"/>
    </xf>
    <xf numFmtId="164" fontId="27" fillId="0" borderId="0" xfId="0" applyNumberFormat="1" applyFont="1" applyAlignment="1">
      <alignment horizontal="right" vertical="center"/>
    </xf>
    <xf numFmtId="0" fontId="20" fillId="0" borderId="0" xfId="0" applyFont="1" applyAlignment="1">
      <alignment horizontal="right" vertical="center"/>
    </xf>
    <xf numFmtId="49" fontId="27" fillId="0" borderId="16" xfId="0" applyNumberFormat="1" applyFont="1" applyBorder="1" applyAlignment="1">
      <alignment horizontal="center"/>
    </xf>
    <xf numFmtId="0" fontId="20" fillId="0" borderId="0" xfId="0" applyFont="1" applyAlignment="1">
      <alignment horizontal="center"/>
    </xf>
    <xf numFmtId="0" fontId="0" fillId="0" borderId="0" xfId="0" applyAlignment="1">
      <alignment horizontal="center"/>
    </xf>
    <xf numFmtId="0" fontId="20" fillId="0" borderId="0" xfId="0" applyFont="1" applyAlignment="1"/>
    <xf numFmtId="166" fontId="29" fillId="0" borderId="0" xfId="0" applyNumberFormat="1" applyFont="1" applyAlignment="1">
      <alignment horizontal="center"/>
    </xf>
    <xf numFmtId="165" fontId="31" fillId="0" borderId="3" xfId="0" applyNumberFormat="1" applyFont="1" applyBorder="1" applyAlignment="1">
      <alignment horizontal="center"/>
    </xf>
    <xf numFmtId="165" fontId="21" fillId="0" borderId="12" xfId="0" applyNumberFormat="1" applyFont="1" applyBorder="1" applyAlignment="1">
      <alignment horizontal="center"/>
    </xf>
    <xf numFmtId="0" fontId="0" fillId="0" borderId="12" xfId="0" applyBorder="1" applyAlignment="1"/>
    <xf numFmtId="0" fontId="4" fillId="0" borderId="1" xfId="0" applyFont="1" applyBorder="1" applyAlignment="1">
      <alignment horizontal="left"/>
    </xf>
    <xf numFmtId="164" fontId="4" fillId="3" borderId="7" xfId="0" applyNumberFormat="1" applyFont="1" applyFill="1" applyBorder="1" applyAlignment="1">
      <alignment horizontal="center"/>
    </xf>
    <xf numFmtId="164" fontId="4" fillId="4" borderId="7" xfId="0" applyNumberFormat="1" applyFont="1" applyFill="1" applyBorder="1" applyAlignment="1">
      <alignment horizontal="center"/>
    </xf>
    <xf numFmtId="165" fontId="21" fillId="0" borderId="1" xfId="0" applyNumberFormat="1" applyFont="1" applyBorder="1" applyAlignment="1">
      <alignment horizontal="center"/>
    </xf>
    <xf numFmtId="164" fontId="4" fillId="2" borderId="1" xfId="0" applyNumberFormat="1" applyFont="1" applyFill="1" applyBorder="1" applyAlignment="1">
      <alignment horizontal="center"/>
    </xf>
    <xf numFmtId="0" fontId="4" fillId="0" borderId="8" xfId="0" applyFont="1" applyBorder="1" applyAlignment="1">
      <alignment horizontal="left"/>
    </xf>
    <xf numFmtId="164" fontId="4" fillId="3" borderId="11" xfId="0" applyNumberFormat="1" applyFont="1" applyFill="1" applyBorder="1" applyAlignment="1">
      <alignment horizontal="center"/>
    </xf>
    <xf numFmtId="164" fontId="4" fillId="4" borderId="11" xfId="0" applyNumberFormat="1" applyFont="1" applyFill="1" applyBorder="1" applyAlignment="1">
      <alignment horizontal="center"/>
    </xf>
    <xf numFmtId="165" fontId="21" fillId="0" borderId="8" xfId="0" applyNumberFormat="1" applyFont="1" applyBorder="1" applyAlignment="1">
      <alignment horizontal="center"/>
    </xf>
    <xf numFmtId="164" fontId="4" fillId="2" borderId="8" xfId="0" applyNumberFormat="1" applyFont="1" applyFill="1" applyBorder="1" applyAlignment="1">
      <alignment horizontal="center"/>
    </xf>
    <xf numFmtId="0" fontId="4" fillId="0" borderId="12" xfId="0" applyFont="1" applyBorder="1" applyAlignment="1">
      <alignment horizontal="left"/>
    </xf>
    <xf numFmtId="164" fontId="4" fillId="3" borderId="15" xfId="0" applyNumberFormat="1" applyFont="1" applyFill="1" applyBorder="1" applyAlignment="1">
      <alignment horizontal="center"/>
    </xf>
    <xf numFmtId="164" fontId="4" fillId="4" borderId="15" xfId="0" applyNumberFormat="1" applyFont="1" applyFill="1" applyBorder="1" applyAlignment="1">
      <alignment horizontal="center"/>
    </xf>
    <xf numFmtId="164" fontId="4" fillId="2" borderId="12" xfId="0" applyNumberFormat="1" applyFont="1" applyFill="1" applyBorder="1" applyAlignment="1">
      <alignment horizontal="center"/>
    </xf>
    <xf numFmtId="0" fontId="33" fillId="0" borderId="0" xfId="0" applyFont="1" applyAlignment="1"/>
    <xf numFmtId="0" fontId="0" fillId="0" borderId="8" xfId="0" applyBorder="1" applyAlignment="1"/>
    <xf numFmtId="0" fontId="14" fillId="0" borderId="0" xfId="0" applyFont="1" applyAlignment="1">
      <alignment wrapText="1"/>
    </xf>
    <xf numFmtId="165" fontId="25" fillId="0" borderId="0" xfId="0" applyNumberFormat="1" applyFont="1" applyAlignment="1">
      <alignment horizontal="center"/>
    </xf>
    <xf numFmtId="164" fontId="26" fillId="0" borderId="0" xfId="0" applyNumberFormat="1" applyFont="1" applyAlignment="1">
      <alignment horizontal="center"/>
    </xf>
    <xf numFmtId="165" fontId="26" fillId="0" borderId="0" xfId="0" applyNumberFormat="1" applyFont="1" applyAlignment="1">
      <alignment horizontal="center"/>
    </xf>
    <xf numFmtId="0" fontId="32" fillId="0" borderId="0" xfId="0" applyFont="1" applyAlignment="1"/>
    <xf numFmtId="165" fontId="31" fillId="0" borderId="0" xfId="0" applyNumberFormat="1" applyFont="1" applyAlignment="1">
      <alignment horizontal="center"/>
    </xf>
    <xf numFmtId="164" fontId="31" fillId="2" borderId="0" xfId="0" applyNumberFormat="1" applyFont="1" applyFill="1" applyAlignment="1">
      <alignment horizontal="center"/>
    </xf>
    <xf numFmtId="165" fontId="24" fillId="0" borderId="0" xfId="0" applyNumberFormat="1" applyFont="1" applyAlignment="1"/>
    <xf numFmtId="0" fontId="34" fillId="0" borderId="1" xfId="0" applyFont="1" applyBorder="1" applyAlignment="1">
      <alignment wrapText="1"/>
    </xf>
    <xf numFmtId="0" fontId="35" fillId="0" borderId="1" xfId="0" applyFont="1" applyBorder="1" applyAlignment="1">
      <alignment wrapText="1"/>
    </xf>
    <xf numFmtId="165" fontId="21" fillId="0" borderId="3" xfId="0" applyNumberFormat="1" applyFont="1" applyBorder="1" applyAlignment="1">
      <alignment horizontal="center"/>
    </xf>
    <xf numFmtId="165" fontId="21" fillId="0" borderId="0" xfId="0" applyNumberFormat="1" applyFont="1" applyAlignment="1">
      <alignment horizontal="center"/>
    </xf>
    <xf numFmtId="165" fontId="31" fillId="0" borderId="9" xfId="0" applyNumberFormat="1" applyFont="1" applyBorder="1" applyAlignment="1">
      <alignment horizontal="center"/>
    </xf>
    <xf numFmtId="0" fontId="35" fillId="0" borderId="12" xfId="0" applyFont="1" applyBorder="1" applyAlignment="1"/>
    <xf numFmtId="0" fontId="0" fillId="0" borderId="16" xfId="0" applyBorder="1" applyAlignment="1"/>
    <xf numFmtId="0" fontId="22" fillId="0" borderId="16" xfId="0" applyFont="1" applyBorder="1" applyAlignment="1"/>
    <xf numFmtId="0" fontId="24" fillId="0" borderId="16" xfId="0" applyFont="1" applyBorder="1" applyAlignment="1"/>
    <xf numFmtId="0" fontId="36" fillId="0" borderId="12" xfId="0" applyFont="1" applyBorder="1" applyAlignment="1"/>
    <xf numFmtId="0" fontId="36" fillId="0" borderId="0" xfId="0" applyFont="1" applyAlignment="1"/>
    <xf numFmtId="0" fontId="37" fillId="0" borderId="0" xfId="0" applyFont="1" applyAlignment="1"/>
    <xf numFmtId="165" fontId="38" fillId="0" borderId="5" xfId="0" applyNumberFormat="1" applyFont="1" applyBorder="1" applyAlignment="1">
      <alignment horizontal="center"/>
    </xf>
    <xf numFmtId="164" fontId="38" fillId="3" borderId="7" xfId="0" applyNumberFormat="1" applyFont="1" applyFill="1" applyBorder="1" applyAlignment="1">
      <alignment horizontal="center"/>
    </xf>
    <xf numFmtId="164" fontId="38" fillId="4" borderId="7" xfId="0" applyNumberFormat="1" applyFont="1" applyFill="1" applyBorder="1" applyAlignment="1">
      <alignment horizontal="center"/>
    </xf>
    <xf numFmtId="165" fontId="38" fillId="0" borderId="1" xfId="0" applyNumberFormat="1" applyFont="1" applyBorder="1" applyAlignment="1">
      <alignment horizontal="center"/>
    </xf>
    <xf numFmtId="164" fontId="38" fillId="2" borderId="1" xfId="0" applyNumberFormat="1" applyFont="1" applyFill="1" applyBorder="1" applyAlignment="1">
      <alignment horizontal="center"/>
    </xf>
    <xf numFmtId="0" fontId="34" fillId="0" borderId="8" xfId="0" applyFont="1" applyBorder="1" applyAlignment="1">
      <alignment wrapText="1"/>
    </xf>
    <xf numFmtId="0" fontId="31" fillId="0" borderId="8" xfId="0" applyFont="1" applyBorder="1" applyAlignment="1">
      <alignment wrapText="1"/>
    </xf>
    <xf numFmtId="164" fontId="31" fillId="3" borderId="11" xfId="0" applyNumberFormat="1" applyFont="1" applyFill="1" applyBorder="1" applyAlignment="1">
      <alignment horizontal="center"/>
    </xf>
    <xf numFmtId="164" fontId="31" fillId="4" borderId="11" xfId="0" applyNumberFormat="1" applyFont="1" applyFill="1" applyBorder="1" applyAlignment="1">
      <alignment horizontal="center"/>
    </xf>
    <xf numFmtId="165" fontId="31" fillId="0" borderId="8" xfId="0" applyNumberFormat="1" applyFont="1" applyBorder="1" applyAlignment="1">
      <alignment horizontal="center"/>
    </xf>
    <xf numFmtId="164" fontId="31" fillId="2" borderId="8" xfId="0" applyNumberFormat="1" applyFont="1" applyFill="1" applyBorder="1" applyAlignment="1">
      <alignment horizontal="center"/>
    </xf>
    <xf numFmtId="164" fontId="31" fillId="4" borderId="8" xfId="0" applyNumberFormat="1" applyFont="1" applyFill="1" applyBorder="1" applyAlignment="1">
      <alignment horizontal="center"/>
    </xf>
    <xf numFmtId="164" fontId="31" fillId="3" borderId="8" xfId="0" applyNumberFormat="1" applyFont="1" applyFill="1" applyBorder="1" applyAlignment="1">
      <alignment horizontal="center"/>
    </xf>
    <xf numFmtId="0" fontId="32" fillId="0" borderId="16" xfId="0" applyFont="1" applyBorder="1" applyAlignment="1"/>
    <xf numFmtId="0" fontId="14" fillId="0" borderId="22" xfId="0" applyFont="1" applyBorder="1" applyAlignment="1">
      <alignment wrapText="1"/>
    </xf>
    <xf numFmtId="165" fontId="25" fillId="0" borderId="22" xfId="0" applyNumberFormat="1" applyFont="1" applyBorder="1" applyAlignment="1">
      <alignment horizontal="center"/>
    </xf>
    <xf numFmtId="164" fontId="26" fillId="0" borderId="22" xfId="0" applyNumberFormat="1" applyFont="1" applyBorder="1" applyAlignment="1">
      <alignment horizontal="center"/>
    </xf>
    <xf numFmtId="165" fontId="26" fillId="0" borderId="22" xfId="0" applyNumberFormat="1" applyFont="1" applyBorder="1" applyAlignment="1">
      <alignment horizontal="center"/>
    </xf>
    <xf numFmtId="165" fontId="31" fillId="0" borderId="25" xfId="0" applyNumberFormat="1" applyFont="1" applyBorder="1" applyAlignment="1">
      <alignment horizontal="center"/>
    </xf>
    <xf numFmtId="165" fontId="31" fillId="0" borderId="10" xfId="0" applyNumberFormat="1" applyFont="1" applyBorder="1" applyAlignment="1">
      <alignment horizontal="center"/>
    </xf>
    <xf numFmtId="164" fontId="31" fillId="4" borderId="27" xfId="0" applyNumberFormat="1" applyFont="1" applyFill="1" applyBorder="1" applyAlignment="1">
      <alignment horizontal="center"/>
    </xf>
    <xf numFmtId="0" fontId="0" fillId="0" borderId="26" xfId="0" applyBorder="1" applyAlignment="1"/>
    <xf numFmtId="0" fontId="0" fillId="0" borderId="28" xfId="0" applyBorder="1" applyAlignment="1"/>
    <xf numFmtId="49" fontId="27" fillId="0" borderId="30" xfId="0" applyNumberFormat="1" applyFont="1" applyBorder="1" applyAlignment="1">
      <alignment horizontal="center"/>
    </xf>
    <xf numFmtId="164" fontId="19" fillId="0" borderId="29" xfId="0" applyNumberFormat="1" applyFont="1" applyBorder="1" applyAlignment="1">
      <alignment horizontal="center"/>
    </xf>
    <xf numFmtId="0" fontId="8" fillId="0" borderId="16" xfId="0" applyFont="1" applyBorder="1" applyAlignment="1">
      <alignment horizontal="left"/>
    </xf>
    <xf numFmtId="0" fontId="8" fillId="0" borderId="16" xfId="0" applyFont="1" applyBorder="1" applyAlignment="1"/>
    <xf numFmtId="0" fontId="39" fillId="0" borderId="16" xfId="0" applyFont="1" applyBorder="1" applyAlignment="1"/>
    <xf numFmtId="1" fontId="8" fillId="0" borderId="16" xfId="0" applyNumberFormat="1" applyFont="1" applyBorder="1" applyAlignment="1">
      <alignment horizontal="right"/>
    </xf>
    <xf numFmtId="0" fontId="39" fillId="0" borderId="16" xfId="0" applyFont="1" applyBorder="1" applyAlignment="1">
      <alignment horizontal="right"/>
    </xf>
    <xf numFmtId="1" fontId="8" fillId="0" borderId="16" xfId="0" applyNumberFormat="1" applyFont="1" applyBorder="1" applyAlignment="1">
      <alignment horizontal="right" vertical="center"/>
    </xf>
    <xf numFmtId="0" fontId="39" fillId="0" borderId="16" xfId="0" applyFont="1" applyBorder="1" applyAlignment="1">
      <alignment horizontal="right" vertical="center"/>
    </xf>
    <xf numFmtId="0" fontId="4" fillId="0" borderId="17" xfId="0" applyFont="1" applyBorder="1" applyAlignment="1"/>
    <xf numFmtId="164" fontId="4" fillId="0" borderId="17" xfId="0" applyNumberFormat="1" applyFont="1" applyBorder="1" applyAlignment="1">
      <alignment horizontal="center"/>
    </xf>
    <xf numFmtId="164" fontId="40" fillId="0" borderId="17" xfId="0" applyNumberFormat="1" applyFont="1" applyBorder="1" applyAlignment="1">
      <alignment horizontal="center"/>
    </xf>
    <xf numFmtId="0" fontId="40" fillId="0" borderId="17" xfId="0" applyFont="1" applyBorder="1" applyAlignment="1"/>
    <xf numFmtId="0" fontId="4" fillId="0" borderId="0" xfId="0" applyFont="1" applyAlignment="1">
      <alignment vertical="center"/>
    </xf>
    <xf numFmtId="0" fontId="4" fillId="0" borderId="0" xfId="0" applyFont="1" applyAlignment="1">
      <alignment horizontal="left" vertical="center"/>
    </xf>
    <xf numFmtId="164" fontId="4" fillId="0" borderId="0" xfId="0" applyNumberFormat="1" applyFont="1" applyAlignment="1">
      <alignment horizontal="right" vertical="center"/>
    </xf>
    <xf numFmtId="0" fontId="33" fillId="0" borderId="0" xfId="0" applyFont="1" applyAlignment="1">
      <alignment vertical="center"/>
    </xf>
    <xf numFmtId="0" fontId="33" fillId="0" borderId="0" xfId="0" applyFont="1" applyAlignment="1">
      <alignment horizontal="left" vertical="center"/>
    </xf>
    <xf numFmtId="0" fontId="33" fillId="6" borderId="0" xfId="0" applyFont="1" applyFill="1" applyAlignment="1">
      <alignment horizontal="left" vertical="center" indent="1"/>
    </xf>
    <xf numFmtId="0" fontId="33" fillId="6" borderId="0" xfId="0" applyFont="1" applyFill="1" applyAlignment="1">
      <alignment vertical="center"/>
    </xf>
    <xf numFmtId="164" fontId="33" fillId="6" borderId="0" xfId="0" applyNumberFormat="1" applyFont="1" applyFill="1" applyAlignment="1">
      <alignment horizontal="right" vertical="center"/>
    </xf>
    <xf numFmtId="0" fontId="4" fillId="0" borderId="1" xfId="0" applyFont="1" applyBorder="1" applyAlignment="1">
      <alignment vertical="center"/>
    </xf>
    <xf numFmtId="0" fontId="27" fillId="0" borderId="0" xfId="0" applyFont="1" applyAlignment="1">
      <alignment horizontal="left"/>
    </xf>
    <xf numFmtId="0" fontId="4" fillId="0" borderId="1" xfId="0" applyFont="1" applyBorder="1" applyAlignment="1">
      <alignment horizontal="left" vertical="center"/>
    </xf>
    <xf numFmtId="164" fontId="4" fillId="0" borderId="1" xfId="0" applyNumberFormat="1" applyFont="1" applyBorder="1" applyAlignment="1">
      <alignment horizontal="right" vertical="center"/>
    </xf>
    <xf numFmtId="0" fontId="27" fillId="0" borderId="8" xfId="0" applyFont="1" applyBorder="1" applyAlignment="1">
      <alignment horizontal="left"/>
    </xf>
    <xf numFmtId="0" fontId="4" fillId="0" borderId="8" xfId="0" applyFont="1" applyBorder="1" applyAlignment="1"/>
    <xf numFmtId="164" fontId="4" fillId="0" borderId="8" xfId="0" applyNumberFormat="1" applyFont="1" applyBorder="1" applyAlignment="1">
      <alignment horizontal="center"/>
    </xf>
    <xf numFmtId="0" fontId="4" fillId="0" borderId="8" xfId="0" applyFont="1" applyBorder="1" applyAlignment="1">
      <alignment vertical="center"/>
    </xf>
    <xf numFmtId="0" fontId="4" fillId="0" borderId="8" xfId="0" applyFont="1" applyBorder="1" applyAlignment="1">
      <alignment horizontal="left" vertical="center"/>
    </xf>
    <xf numFmtId="164" fontId="4" fillId="0" borderId="8" xfId="0" applyNumberFormat="1" applyFont="1" applyBorder="1" applyAlignment="1">
      <alignment horizontal="right" vertical="center"/>
    </xf>
    <xf numFmtId="0" fontId="4" fillId="0" borderId="1" xfId="0" applyFont="1" applyBorder="1" applyAlignment="1">
      <alignment vertical="top"/>
    </xf>
    <xf numFmtId="0" fontId="4" fillId="0" borderId="0" xfId="0" applyFont="1" applyAlignment="1">
      <alignment horizontal="left" vertical="top"/>
    </xf>
    <xf numFmtId="0" fontId="4" fillId="0" borderId="0" xfId="0" applyFont="1" applyAlignment="1">
      <alignment vertical="top"/>
    </xf>
    <xf numFmtId="164" fontId="4" fillId="0" borderId="0" xfId="0" applyNumberFormat="1" applyFont="1" applyAlignment="1">
      <alignment horizontal="right" vertical="top"/>
    </xf>
    <xf numFmtId="0" fontId="0" fillId="0" borderId="0" xfId="0" applyAlignment="1">
      <alignment vertical="top"/>
    </xf>
    <xf numFmtId="0" fontId="0" fillId="0" borderId="16" xfId="0" applyBorder="1" applyAlignment="1">
      <alignment vertical="top"/>
    </xf>
    <xf numFmtId="0" fontId="0" fillId="6" borderId="0" xfId="0" applyFill="1" applyAlignment="1"/>
    <xf numFmtId="164" fontId="33" fillId="0" borderId="0" xfId="0" applyNumberFormat="1" applyFont="1" applyAlignment="1">
      <alignment horizontal="right" vertical="center"/>
    </xf>
    <xf numFmtId="164" fontId="0" fillId="0" borderId="0" xfId="0" applyNumberFormat="1" applyAlignment="1">
      <alignment vertical="top"/>
    </xf>
    <xf numFmtId="0" fontId="5" fillId="0" borderId="0" xfId="0" applyFont="1" applyAlignment="1">
      <alignment horizontal="left"/>
    </xf>
    <xf numFmtId="0" fontId="19" fillId="0" borderId="0" xfId="0" applyFont="1" applyAlignment="1">
      <alignment vertical="top"/>
    </xf>
    <xf numFmtId="0" fontId="47" fillId="0" borderId="0" xfId="0" applyFont="1" applyAlignment="1"/>
    <xf numFmtId="0" fontId="47" fillId="0" borderId="0" xfId="0" applyFont="1" applyAlignment="1">
      <alignment vertical="top"/>
    </xf>
    <xf numFmtId="166" fontId="47" fillId="0" borderId="0" xfId="0" applyNumberFormat="1" applyFont="1" applyAlignment="1">
      <alignment horizontal="center"/>
    </xf>
    <xf numFmtId="0" fontId="47" fillId="0" borderId="0" xfId="0" applyFont="1" applyAlignment="1">
      <alignment vertical="center"/>
    </xf>
    <xf numFmtId="164" fontId="0" fillId="0" borderId="0" xfId="0" applyNumberFormat="1" applyAlignment="1"/>
    <xf numFmtId="164" fontId="50" fillId="0" borderId="0" xfId="0" applyNumberFormat="1" applyFont="1" applyAlignment="1">
      <alignment horizontal="center"/>
    </xf>
    <xf numFmtId="0" fontId="51" fillId="0" borderId="0" xfId="0" applyFont="1" applyAlignment="1">
      <alignment horizontal="left"/>
    </xf>
    <xf numFmtId="164" fontId="52" fillId="0" borderId="0" xfId="0" applyNumberFormat="1" applyFont="1" applyAlignment="1">
      <alignment horizontal="left"/>
    </xf>
    <xf numFmtId="0" fontId="52" fillId="0" borderId="0" xfId="0" applyFont="1" applyAlignment="1">
      <alignment horizontal="left"/>
    </xf>
    <xf numFmtId="1" fontId="8" fillId="0" borderId="30" xfId="0" applyNumberFormat="1" applyFont="1" applyBorder="1" applyAlignment="1">
      <alignment horizontal="right" vertical="center"/>
    </xf>
    <xf numFmtId="164" fontId="4" fillId="0" borderId="29" xfId="0" applyNumberFormat="1" applyFont="1" applyBorder="1" applyAlignment="1">
      <alignment horizontal="right" vertical="top"/>
    </xf>
    <xf numFmtId="0" fontId="4" fillId="0" borderId="29" xfId="0" applyFont="1" applyBorder="1" applyAlignment="1">
      <alignment horizontal="left" vertical="top"/>
    </xf>
    <xf numFmtId="0" fontId="52" fillId="0" borderId="0" xfId="0" applyFont="1" applyAlignment="1"/>
    <xf numFmtId="164" fontId="8" fillId="0" borderId="0" xfId="0" applyNumberFormat="1" applyFont="1" applyAlignment="1">
      <alignment horizontal="left" vertical="center"/>
    </xf>
    <xf numFmtId="1" fontId="8" fillId="0" borderId="30" xfId="0" applyNumberFormat="1" applyFont="1" applyBorder="1" applyAlignment="1">
      <alignment horizontal="right"/>
    </xf>
    <xf numFmtId="1" fontId="8" fillId="0" borderId="32" xfId="0" applyNumberFormat="1" applyFont="1" applyBorder="1" applyAlignment="1">
      <alignment horizontal="right"/>
    </xf>
    <xf numFmtId="164" fontId="4" fillId="0" borderId="3" xfId="0" applyNumberFormat="1" applyFont="1" applyBorder="1" applyAlignment="1">
      <alignment horizontal="right" vertical="top"/>
    </xf>
    <xf numFmtId="0" fontId="27" fillId="0" borderId="0" xfId="0" applyFont="1" applyAlignment="1">
      <alignment horizontal="center"/>
    </xf>
    <xf numFmtId="0" fontId="27" fillId="0" borderId="3" xfId="0" applyFont="1" applyBorder="1" applyAlignment="1">
      <alignment horizontal="center"/>
    </xf>
    <xf numFmtId="0" fontId="27" fillId="0" borderId="0" xfId="0" applyFont="1" applyAlignment="1"/>
    <xf numFmtId="0" fontId="27" fillId="0" borderId="29" xfId="0" applyFont="1" applyBorder="1" applyAlignment="1"/>
    <xf numFmtId="0" fontId="27" fillId="0" borderId="3" xfId="0" applyFont="1" applyBorder="1" applyAlignment="1"/>
    <xf numFmtId="0" fontId="27" fillId="0" borderId="29" xfId="0" applyFont="1" applyBorder="1" applyAlignment="1">
      <alignment horizontal="left"/>
    </xf>
    <xf numFmtId="0" fontId="46" fillId="0" borderId="0" xfId="0" applyFont="1" applyAlignment="1">
      <alignment horizontal="left"/>
    </xf>
    <xf numFmtId="0" fontId="27" fillId="0" borderId="33" xfId="0" applyFont="1" applyBorder="1" applyAlignment="1">
      <alignment horizontal="center"/>
    </xf>
    <xf numFmtId="1" fontId="8" fillId="0" borderId="34" xfId="0" applyNumberFormat="1" applyFont="1" applyBorder="1" applyAlignment="1">
      <alignment horizontal="right"/>
    </xf>
    <xf numFmtId="164" fontId="4" fillId="0" borderId="33" xfId="0" applyNumberFormat="1" applyFont="1" applyBorder="1" applyAlignment="1">
      <alignment horizontal="right" vertical="top"/>
    </xf>
    <xf numFmtId="0" fontId="27" fillId="0" borderId="33" xfId="0" applyFont="1" applyBorder="1" applyAlignment="1"/>
    <xf numFmtId="164" fontId="4" fillId="0" borderId="35" xfId="0" applyNumberFormat="1" applyFont="1" applyBorder="1" applyAlignment="1">
      <alignment horizontal="right" vertical="top"/>
    </xf>
    <xf numFmtId="0" fontId="6" fillId="0" borderId="0" xfId="0" applyFont="1" applyAlignment="1">
      <alignment horizontal="left"/>
    </xf>
    <xf numFmtId="0" fontId="7" fillId="0" borderId="0" xfId="0" applyFont="1" applyAlignment="1">
      <alignment horizontal="left"/>
    </xf>
    <xf numFmtId="0" fontId="27" fillId="0" borderId="17" xfId="0" applyFont="1" applyBorder="1" applyAlignment="1">
      <alignment horizontal="left"/>
    </xf>
    <xf numFmtId="0" fontId="28" fillId="0" borderId="0" xfId="0" applyFont="1" applyAlignment="1">
      <alignment horizontal="left"/>
    </xf>
    <xf numFmtId="0" fontId="46" fillId="0" borderId="0" xfId="0" applyFont="1" applyAlignment="1">
      <alignment horizontal="left" vertical="center"/>
    </xf>
    <xf numFmtId="0" fontId="47" fillId="0" borderId="0" xfId="0" applyFont="1" applyAlignment="1">
      <alignment horizontal="left" vertical="top"/>
    </xf>
    <xf numFmtId="0" fontId="46" fillId="0" borderId="0" xfId="0" applyFont="1" applyAlignment="1">
      <alignment horizontal="left"/>
    </xf>
    <xf numFmtId="164" fontId="48" fillId="0" borderId="16" xfId="0" applyNumberFormat="1" applyFont="1" applyBorder="1" applyAlignment="1">
      <alignment horizontal="center"/>
    </xf>
    <xf numFmtId="164" fontId="48" fillId="0" borderId="23" xfId="0" applyNumberFormat="1" applyFont="1" applyBorder="1" applyAlignment="1">
      <alignment horizontal="center"/>
    </xf>
    <xf numFmtId="164" fontId="49" fillId="0" borderId="24" xfId="0" applyNumberFormat="1" applyFont="1" applyBorder="1" applyAlignment="1">
      <alignment horizontal="center"/>
    </xf>
    <xf numFmtId="164" fontId="49" fillId="0" borderId="16" xfId="0" applyNumberFormat="1" applyFont="1" applyBorder="1" applyAlignment="1">
      <alignment horizontal="center"/>
    </xf>
    <xf numFmtId="164" fontId="49" fillId="0" borderId="23" xfId="0" applyNumberFormat="1" applyFont="1" applyBorder="1" applyAlignment="1">
      <alignment horizontal="center"/>
    </xf>
    <xf numFmtId="0" fontId="15" fillId="0" borderId="24" xfId="0" applyFont="1" applyBorder="1" applyAlignment="1">
      <alignment horizontal="center"/>
    </xf>
    <xf numFmtId="0" fontId="15" fillId="0" borderId="16" xfId="0" applyFont="1" applyBorder="1" applyAlignment="1">
      <alignment horizontal="center"/>
    </xf>
    <xf numFmtId="164" fontId="48" fillId="0" borderId="24" xfId="0" applyNumberFormat="1" applyFont="1" applyBorder="1" applyAlignment="1">
      <alignment horizontal="center"/>
    </xf>
    <xf numFmtId="0" fontId="48" fillId="0" borderId="24" xfId="0" applyFont="1" applyBorder="1" applyAlignment="1">
      <alignment horizontal="center"/>
    </xf>
    <xf numFmtId="0" fontId="48" fillId="0" borderId="16" xfId="0" applyFont="1" applyBorder="1" applyAlignment="1">
      <alignment horizontal="center"/>
    </xf>
    <xf numFmtId="164" fontId="15" fillId="0" borderId="16" xfId="0" applyNumberFormat="1" applyFont="1" applyBorder="1" applyAlignment="1">
      <alignment horizontal="center"/>
    </xf>
    <xf numFmtId="164" fontId="15" fillId="0" borderId="23" xfId="0" applyNumberFormat="1" applyFont="1" applyBorder="1" applyAlignment="1">
      <alignment horizontal="center"/>
    </xf>
    <xf numFmtId="164" fontId="15" fillId="0" borderId="24" xfId="0" applyNumberFormat="1" applyFont="1" applyBorder="1" applyAlignment="1">
      <alignment horizontal="center"/>
    </xf>
    <xf numFmtId="0" fontId="20" fillId="0" borderId="0" xfId="0" applyFont="1" applyAlignment="1">
      <alignment horizontal="center"/>
    </xf>
    <xf numFmtId="164" fontId="18" fillId="0" borderId="0" xfId="0" applyNumberFormat="1" applyFont="1" applyAlignment="1">
      <alignment horizontal="left" vertical="center"/>
    </xf>
    <xf numFmtId="164" fontId="18" fillId="0" borderId="3" xfId="0" applyNumberFormat="1" applyFont="1" applyBorder="1" applyAlignment="1">
      <alignment horizontal="left" vertical="center"/>
    </xf>
    <xf numFmtId="0" fontId="27" fillId="0" borderId="31" xfId="0" applyFont="1" applyBorder="1" applyAlignment="1">
      <alignment horizontal="left"/>
    </xf>
    <xf numFmtId="49" fontId="27" fillId="0" borderId="16" xfId="0" applyNumberFormat="1" applyFont="1" applyBorder="1" applyAlignment="1">
      <alignment horizontal="center" vertical="center"/>
    </xf>
  </cellXfs>
  <cellStyles count="2">
    <cellStyle name="Normal" xfId="0" builtinId="0"/>
    <cellStyle name="Warning Text" xfId="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mruColors>
      <color rgb="FFF2BF49"/>
      <color rgb="FF3A75C4"/>
      <color rgb="FFCE1126"/>
      <color rgb="FF8499A5"/>
      <color rgb="FFC4B796"/>
      <color rgb="FF076D54"/>
      <color rgb="FF000000"/>
      <color rgb="FFFFFFCC"/>
      <color rgb="FF5447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Average Undergraduate Section Size</a:t>
            </a:r>
          </a:p>
        </c:rich>
      </c:tx>
      <c:layout>
        <c:manualLayout>
          <c:xMode val="edge"/>
          <c:yMode val="edge"/>
          <c:x val="0.25871803863089526"/>
          <c:y val="9.5478264707719203E-3"/>
        </c:manualLayout>
      </c:layout>
      <c:overlay val="0"/>
    </c:title>
    <c:autoTitleDeleted val="0"/>
    <c:plotArea>
      <c:layout>
        <c:manualLayout>
          <c:layoutTarget val="inner"/>
          <c:xMode val="edge"/>
          <c:yMode val="edge"/>
          <c:x val="7.3498355299611864E-2"/>
          <c:y val="0.16108102685403949"/>
          <c:w val="0.91676486195077245"/>
          <c:h val="0.65293863647557615"/>
        </c:manualLayout>
      </c:layout>
      <c:barChart>
        <c:barDir val="col"/>
        <c:grouping val="clustered"/>
        <c:varyColors val="0"/>
        <c:ser>
          <c:idx val="0"/>
          <c:order val="0"/>
          <c:tx>
            <c:strRef>
              <c:f>'Data for UG graph'!$A$4</c:f>
              <c:strCache>
                <c:ptCount val="1"/>
                <c:pt idx="0">
                  <c:v>Undergraduate Average Section Size</c:v>
                </c:pt>
              </c:strCache>
            </c:strRef>
          </c:tx>
          <c:invertIfNegative val="0"/>
          <c:dPt>
            <c:idx val="0"/>
            <c:invertIfNegative val="0"/>
            <c:bubble3D val="0"/>
            <c:spPr>
              <a:solidFill>
                <a:srgbClr val="076D54"/>
              </a:solidFill>
            </c:spPr>
            <c:extLst>
              <c:ext xmlns:c16="http://schemas.microsoft.com/office/drawing/2014/chart" uri="{C3380CC4-5D6E-409C-BE32-E72D297353CC}">
                <c16:uniqueId val="{00000001-9447-4120-87B1-CDB81511249C}"/>
              </c:ext>
            </c:extLst>
          </c:dPt>
          <c:dPt>
            <c:idx val="1"/>
            <c:invertIfNegative val="0"/>
            <c:bubble3D val="0"/>
            <c:spPr>
              <a:solidFill>
                <a:srgbClr val="076D54"/>
              </a:solidFill>
            </c:spPr>
            <c:extLst>
              <c:ext xmlns:c16="http://schemas.microsoft.com/office/drawing/2014/chart" uri="{C3380CC4-5D6E-409C-BE32-E72D297353CC}">
                <c16:uniqueId val="{00000003-9447-4120-87B1-CDB81511249C}"/>
              </c:ext>
            </c:extLst>
          </c:dPt>
          <c:dPt>
            <c:idx val="2"/>
            <c:invertIfNegative val="0"/>
            <c:bubble3D val="0"/>
            <c:spPr>
              <a:solidFill>
                <a:srgbClr val="076D54"/>
              </a:solidFill>
            </c:spPr>
            <c:extLst>
              <c:ext xmlns:c16="http://schemas.microsoft.com/office/drawing/2014/chart" uri="{C3380CC4-5D6E-409C-BE32-E72D297353CC}">
                <c16:uniqueId val="{00000005-9447-4120-87B1-CDB81511249C}"/>
              </c:ext>
            </c:extLst>
          </c:dPt>
          <c:dPt>
            <c:idx val="3"/>
            <c:invertIfNegative val="0"/>
            <c:bubble3D val="0"/>
            <c:spPr>
              <a:solidFill>
                <a:srgbClr val="076D54"/>
              </a:solidFill>
            </c:spPr>
            <c:extLst>
              <c:ext xmlns:c16="http://schemas.microsoft.com/office/drawing/2014/chart" uri="{C3380CC4-5D6E-409C-BE32-E72D297353CC}">
                <c16:uniqueId val="{00000007-9447-4120-87B1-CDB81511249C}"/>
              </c:ext>
            </c:extLst>
          </c:dPt>
          <c:dPt>
            <c:idx val="4"/>
            <c:invertIfNegative val="0"/>
            <c:bubble3D val="0"/>
            <c:spPr>
              <a:solidFill>
                <a:srgbClr val="076D54"/>
              </a:solidFill>
            </c:spPr>
            <c:extLst>
              <c:ext xmlns:c16="http://schemas.microsoft.com/office/drawing/2014/chart" uri="{C3380CC4-5D6E-409C-BE32-E72D297353CC}">
                <c16:uniqueId val="{00000009-9447-4120-87B1-CDB81511249C}"/>
              </c:ext>
            </c:extLst>
          </c:dPt>
          <c:dPt>
            <c:idx val="5"/>
            <c:invertIfNegative val="0"/>
            <c:bubble3D val="0"/>
            <c:spPr>
              <a:solidFill>
                <a:srgbClr val="C4B796"/>
              </a:solidFill>
              <a:ln>
                <a:noFill/>
              </a:ln>
            </c:spPr>
            <c:extLst>
              <c:ext xmlns:c16="http://schemas.microsoft.com/office/drawing/2014/chart" uri="{C3380CC4-5D6E-409C-BE32-E72D297353CC}">
                <c16:uniqueId val="{0000000B-9447-4120-87B1-CDB81511249C}"/>
              </c:ext>
            </c:extLst>
          </c:dPt>
          <c:dPt>
            <c:idx val="6"/>
            <c:invertIfNegative val="0"/>
            <c:bubble3D val="0"/>
            <c:spPr>
              <a:solidFill>
                <a:srgbClr val="C4B796"/>
              </a:solidFill>
            </c:spPr>
            <c:extLst>
              <c:ext xmlns:c16="http://schemas.microsoft.com/office/drawing/2014/chart" uri="{C3380CC4-5D6E-409C-BE32-E72D297353CC}">
                <c16:uniqueId val="{0000000D-9447-4120-87B1-CDB81511249C}"/>
              </c:ext>
            </c:extLst>
          </c:dPt>
          <c:dPt>
            <c:idx val="7"/>
            <c:invertIfNegative val="0"/>
            <c:bubble3D val="0"/>
            <c:spPr>
              <a:solidFill>
                <a:srgbClr val="C4B796"/>
              </a:solidFill>
            </c:spPr>
            <c:extLst>
              <c:ext xmlns:c16="http://schemas.microsoft.com/office/drawing/2014/chart" uri="{C3380CC4-5D6E-409C-BE32-E72D297353CC}">
                <c16:uniqueId val="{0000000F-9447-4120-87B1-CDB81511249C}"/>
              </c:ext>
            </c:extLst>
          </c:dPt>
          <c:dPt>
            <c:idx val="8"/>
            <c:invertIfNegative val="0"/>
            <c:bubble3D val="0"/>
            <c:spPr>
              <a:solidFill>
                <a:srgbClr val="C4B796"/>
              </a:solidFill>
            </c:spPr>
            <c:extLst>
              <c:ext xmlns:c16="http://schemas.microsoft.com/office/drawing/2014/chart" uri="{C3380CC4-5D6E-409C-BE32-E72D297353CC}">
                <c16:uniqueId val="{00000011-9447-4120-87B1-CDB81511249C}"/>
              </c:ext>
            </c:extLst>
          </c:dPt>
          <c:dPt>
            <c:idx val="9"/>
            <c:invertIfNegative val="0"/>
            <c:bubble3D val="0"/>
            <c:spPr>
              <a:solidFill>
                <a:srgbClr val="C4B796"/>
              </a:solidFill>
            </c:spPr>
            <c:extLst>
              <c:ext xmlns:c16="http://schemas.microsoft.com/office/drawing/2014/chart" uri="{C3380CC4-5D6E-409C-BE32-E72D297353CC}">
                <c16:uniqueId val="{00000013-9447-4120-87B1-CDB81511249C}"/>
              </c:ext>
            </c:extLst>
          </c:dPt>
          <c:dPt>
            <c:idx val="10"/>
            <c:invertIfNegative val="0"/>
            <c:bubble3D val="0"/>
            <c:spPr>
              <a:solidFill>
                <a:srgbClr val="8499A5"/>
              </a:solidFill>
            </c:spPr>
            <c:extLst>
              <c:ext xmlns:c16="http://schemas.microsoft.com/office/drawing/2014/chart" uri="{C3380CC4-5D6E-409C-BE32-E72D297353CC}">
                <c16:uniqueId val="{00000015-9447-4120-87B1-CDB81511249C}"/>
              </c:ext>
            </c:extLst>
          </c:dPt>
          <c:dPt>
            <c:idx val="11"/>
            <c:invertIfNegative val="0"/>
            <c:bubble3D val="0"/>
            <c:spPr>
              <a:solidFill>
                <a:srgbClr val="8499A5"/>
              </a:solidFill>
              <a:ln w="0">
                <a:noFill/>
              </a:ln>
            </c:spPr>
            <c:extLst>
              <c:ext xmlns:c16="http://schemas.microsoft.com/office/drawing/2014/chart" uri="{C3380CC4-5D6E-409C-BE32-E72D297353CC}">
                <c16:uniqueId val="{00000017-9447-4120-87B1-CDB81511249C}"/>
              </c:ext>
            </c:extLst>
          </c:dPt>
          <c:dPt>
            <c:idx val="12"/>
            <c:invertIfNegative val="0"/>
            <c:bubble3D val="0"/>
            <c:spPr>
              <a:solidFill>
                <a:srgbClr val="8499A5"/>
              </a:solidFill>
            </c:spPr>
            <c:extLst>
              <c:ext xmlns:c16="http://schemas.microsoft.com/office/drawing/2014/chart" uri="{C3380CC4-5D6E-409C-BE32-E72D297353CC}">
                <c16:uniqueId val="{00000019-9447-4120-87B1-CDB81511249C}"/>
              </c:ext>
            </c:extLst>
          </c:dPt>
          <c:dPt>
            <c:idx val="13"/>
            <c:invertIfNegative val="0"/>
            <c:bubble3D val="0"/>
            <c:spPr>
              <a:solidFill>
                <a:srgbClr val="8499A5"/>
              </a:solidFill>
            </c:spPr>
            <c:extLst>
              <c:ext xmlns:c16="http://schemas.microsoft.com/office/drawing/2014/chart" uri="{C3380CC4-5D6E-409C-BE32-E72D297353CC}">
                <c16:uniqueId val="{0000001B-9447-4120-87B1-CDB81511249C}"/>
              </c:ext>
            </c:extLst>
          </c:dPt>
          <c:dPt>
            <c:idx val="14"/>
            <c:invertIfNegative val="0"/>
            <c:bubble3D val="0"/>
            <c:spPr>
              <a:solidFill>
                <a:srgbClr val="8499A5"/>
              </a:solidFill>
            </c:spPr>
            <c:extLst>
              <c:ext xmlns:c16="http://schemas.microsoft.com/office/drawing/2014/chart" uri="{C3380CC4-5D6E-409C-BE32-E72D297353CC}">
                <c16:uniqueId val="{0000001D-9447-4120-87B1-CDB81511249C}"/>
              </c:ext>
            </c:extLst>
          </c:dPt>
          <c:dPt>
            <c:idx val="15"/>
            <c:invertIfNegative val="0"/>
            <c:bubble3D val="0"/>
            <c:spPr>
              <a:solidFill>
                <a:srgbClr val="CE1126"/>
              </a:solidFill>
            </c:spPr>
            <c:extLst>
              <c:ext xmlns:c16="http://schemas.microsoft.com/office/drawing/2014/chart" uri="{C3380CC4-5D6E-409C-BE32-E72D297353CC}">
                <c16:uniqueId val="{0000001F-9447-4120-87B1-CDB81511249C}"/>
              </c:ext>
            </c:extLst>
          </c:dPt>
          <c:dPt>
            <c:idx val="16"/>
            <c:invertIfNegative val="0"/>
            <c:bubble3D val="0"/>
            <c:spPr>
              <a:solidFill>
                <a:srgbClr val="CE1126"/>
              </a:solidFill>
            </c:spPr>
            <c:extLst>
              <c:ext xmlns:c16="http://schemas.microsoft.com/office/drawing/2014/chart" uri="{C3380CC4-5D6E-409C-BE32-E72D297353CC}">
                <c16:uniqueId val="{00000021-9447-4120-87B1-CDB81511249C}"/>
              </c:ext>
            </c:extLst>
          </c:dPt>
          <c:dPt>
            <c:idx val="17"/>
            <c:invertIfNegative val="0"/>
            <c:bubble3D val="0"/>
            <c:spPr>
              <a:solidFill>
                <a:srgbClr val="CE1126"/>
              </a:solidFill>
            </c:spPr>
            <c:extLst>
              <c:ext xmlns:c16="http://schemas.microsoft.com/office/drawing/2014/chart" uri="{C3380CC4-5D6E-409C-BE32-E72D297353CC}">
                <c16:uniqueId val="{00000023-9447-4120-87B1-CDB81511249C}"/>
              </c:ext>
            </c:extLst>
          </c:dPt>
          <c:dPt>
            <c:idx val="18"/>
            <c:invertIfNegative val="0"/>
            <c:bubble3D val="0"/>
            <c:spPr>
              <a:solidFill>
                <a:srgbClr val="CE1126"/>
              </a:solidFill>
            </c:spPr>
            <c:extLst>
              <c:ext xmlns:c16="http://schemas.microsoft.com/office/drawing/2014/chart" uri="{C3380CC4-5D6E-409C-BE32-E72D297353CC}">
                <c16:uniqueId val="{00000025-9447-4120-87B1-CDB81511249C}"/>
              </c:ext>
            </c:extLst>
          </c:dPt>
          <c:dPt>
            <c:idx val="19"/>
            <c:invertIfNegative val="0"/>
            <c:bubble3D val="0"/>
            <c:spPr>
              <a:solidFill>
                <a:srgbClr val="CE1126"/>
              </a:solidFill>
            </c:spPr>
            <c:extLst>
              <c:ext xmlns:c16="http://schemas.microsoft.com/office/drawing/2014/chart" uri="{C3380CC4-5D6E-409C-BE32-E72D297353CC}">
                <c16:uniqueId val="{00000027-9447-4120-87B1-CDB81511249C}"/>
              </c:ext>
            </c:extLst>
          </c:dPt>
          <c:dPt>
            <c:idx val="20"/>
            <c:invertIfNegative val="0"/>
            <c:bubble3D val="0"/>
            <c:spPr>
              <a:solidFill>
                <a:srgbClr val="3A75C4"/>
              </a:solidFill>
            </c:spPr>
            <c:extLst>
              <c:ext xmlns:c16="http://schemas.microsoft.com/office/drawing/2014/chart" uri="{C3380CC4-5D6E-409C-BE32-E72D297353CC}">
                <c16:uniqueId val="{00000029-9447-4120-87B1-CDB81511249C}"/>
              </c:ext>
            </c:extLst>
          </c:dPt>
          <c:dPt>
            <c:idx val="21"/>
            <c:invertIfNegative val="0"/>
            <c:bubble3D val="0"/>
            <c:spPr>
              <a:solidFill>
                <a:srgbClr val="3A75C4"/>
              </a:solidFill>
            </c:spPr>
            <c:extLst>
              <c:ext xmlns:c16="http://schemas.microsoft.com/office/drawing/2014/chart" uri="{C3380CC4-5D6E-409C-BE32-E72D297353CC}">
                <c16:uniqueId val="{0000002B-9447-4120-87B1-CDB81511249C}"/>
              </c:ext>
            </c:extLst>
          </c:dPt>
          <c:dPt>
            <c:idx val="22"/>
            <c:invertIfNegative val="0"/>
            <c:bubble3D val="0"/>
            <c:spPr>
              <a:solidFill>
                <a:srgbClr val="3A75C4"/>
              </a:solidFill>
            </c:spPr>
            <c:extLst>
              <c:ext xmlns:c16="http://schemas.microsoft.com/office/drawing/2014/chart" uri="{C3380CC4-5D6E-409C-BE32-E72D297353CC}">
                <c16:uniqueId val="{0000002D-9447-4120-87B1-CDB81511249C}"/>
              </c:ext>
            </c:extLst>
          </c:dPt>
          <c:dPt>
            <c:idx val="23"/>
            <c:invertIfNegative val="0"/>
            <c:bubble3D val="0"/>
            <c:spPr>
              <a:solidFill>
                <a:srgbClr val="3A75C4"/>
              </a:solidFill>
            </c:spPr>
            <c:extLst>
              <c:ext xmlns:c16="http://schemas.microsoft.com/office/drawing/2014/chart" uri="{C3380CC4-5D6E-409C-BE32-E72D297353CC}">
                <c16:uniqueId val="{0000002F-9447-4120-87B1-CDB81511249C}"/>
              </c:ext>
            </c:extLst>
          </c:dPt>
          <c:dPt>
            <c:idx val="24"/>
            <c:invertIfNegative val="0"/>
            <c:bubble3D val="0"/>
            <c:spPr>
              <a:solidFill>
                <a:srgbClr val="3A75C4"/>
              </a:solidFill>
            </c:spPr>
            <c:extLst>
              <c:ext xmlns:c16="http://schemas.microsoft.com/office/drawing/2014/chart" uri="{C3380CC4-5D6E-409C-BE32-E72D297353CC}">
                <c16:uniqueId val="{00000031-9447-4120-87B1-CDB81511249C}"/>
              </c:ext>
            </c:extLst>
          </c:dPt>
          <c:dPt>
            <c:idx val="25"/>
            <c:invertIfNegative val="0"/>
            <c:bubble3D val="0"/>
            <c:spPr>
              <a:solidFill>
                <a:srgbClr val="F2BF49"/>
              </a:solidFill>
            </c:spPr>
            <c:extLst>
              <c:ext xmlns:c16="http://schemas.microsoft.com/office/drawing/2014/chart" uri="{C3380CC4-5D6E-409C-BE32-E72D297353CC}">
                <c16:uniqueId val="{00000033-9447-4120-87B1-CDB81511249C}"/>
              </c:ext>
            </c:extLst>
          </c:dPt>
          <c:dPt>
            <c:idx val="26"/>
            <c:invertIfNegative val="0"/>
            <c:bubble3D val="0"/>
            <c:spPr>
              <a:solidFill>
                <a:srgbClr val="F2BF49"/>
              </a:solidFill>
            </c:spPr>
            <c:extLst>
              <c:ext xmlns:c16="http://schemas.microsoft.com/office/drawing/2014/chart" uri="{C3380CC4-5D6E-409C-BE32-E72D297353CC}">
                <c16:uniqueId val="{00000035-9447-4120-87B1-CDB81511249C}"/>
              </c:ext>
            </c:extLst>
          </c:dPt>
          <c:dPt>
            <c:idx val="27"/>
            <c:invertIfNegative val="0"/>
            <c:bubble3D val="0"/>
            <c:spPr>
              <a:solidFill>
                <a:srgbClr val="F2BF49"/>
              </a:solidFill>
            </c:spPr>
            <c:extLst>
              <c:ext xmlns:c16="http://schemas.microsoft.com/office/drawing/2014/chart" uri="{C3380CC4-5D6E-409C-BE32-E72D297353CC}">
                <c16:uniqueId val="{00000037-9447-4120-87B1-CDB81511249C}"/>
              </c:ext>
            </c:extLst>
          </c:dPt>
          <c:dPt>
            <c:idx val="28"/>
            <c:invertIfNegative val="0"/>
            <c:bubble3D val="0"/>
            <c:spPr>
              <a:solidFill>
                <a:srgbClr val="F2BF49"/>
              </a:solidFill>
            </c:spPr>
            <c:extLst>
              <c:ext xmlns:c16="http://schemas.microsoft.com/office/drawing/2014/chart" uri="{C3380CC4-5D6E-409C-BE32-E72D297353CC}">
                <c16:uniqueId val="{00000039-9447-4120-87B1-CDB81511249C}"/>
              </c:ext>
            </c:extLst>
          </c:dPt>
          <c:dPt>
            <c:idx val="29"/>
            <c:invertIfNegative val="0"/>
            <c:bubble3D val="0"/>
            <c:spPr>
              <a:solidFill>
                <a:srgbClr val="F2BF49"/>
              </a:solidFill>
            </c:spPr>
            <c:extLst>
              <c:ext xmlns:c16="http://schemas.microsoft.com/office/drawing/2014/chart" uri="{C3380CC4-5D6E-409C-BE32-E72D297353CC}">
                <c16:uniqueId val="{0000003B-9447-4120-87B1-CDB81511249C}"/>
              </c:ext>
            </c:extLst>
          </c:dPt>
          <c:dPt>
            <c:idx val="30"/>
            <c:invertIfNegative val="0"/>
            <c:bubble3D val="0"/>
            <c:spPr>
              <a:solidFill>
                <a:srgbClr val="F2BF49"/>
              </a:solidFill>
            </c:spPr>
            <c:extLst>
              <c:ext xmlns:c16="http://schemas.microsoft.com/office/drawing/2014/chart" uri="{C3380CC4-5D6E-409C-BE32-E72D297353CC}">
                <c16:uniqueId val="{0000003D-9447-4120-87B1-CDB81511249C}"/>
              </c:ext>
            </c:extLst>
          </c:dPt>
          <c:dPt>
            <c:idx val="31"/>
            <c:invertIfNegative val="0"/>
            <c:bubble3D val="0"/>
            <c:spPr>
              <a:solidFill>
                <a:srgbClr val="F2BF49"/>
              </a:solidFill>
            </c:spPr>
            <c:extLst>
              <c:ext xmlns:c16="http://schemas.microsoft.com/office/drawing/2014/chart" uri="{C3380CC4-5D6E-409C-BE32-E72D297353CC}">
                <c16:uniqueId val="{0000003F-9447-4120-87B1-CDB81511249C}"/>
              </c:ext>
            </c:extLst>
          </c:dPt>
          <c:dPt>
            <c:idx val="32"/>
            <c:invertIfNegative val="0"/>
            <c:bubble3D val="0"/>
            <c:spPr>
              <a:solidFill>
                <a:srgbClr val="F2BF49"/>
              </a:solidFill>
            </c:spPr>
            <c:extLst>
              <c:ext xmlns:c16="http://schemas.microsoft.com/office/drawing/2014/chart" uri="{C3380CC4-5D6E-409C-BE32-E72D297353CC}">
                <c16:uniqueId val="{00000041-9447-4120-87B1-CDB81511249C}"/>
              </c:ext>
            </c:extLst>
          </c:dPt>
          <c:dPt>
            <c:idx val="33"/>
            <c:invertIfNegative val="0"/>
            <c:bubble3D val="0"/>
            <c:spPr>
              <a:solidFill>
                <a:srgbClr val="F2BF49"/>
              </a:solidFill>
            </c:spPr>
            <c:extLst>
              <c:ext xmlns:c16="http://schemas.microsoft.com/office/drawing/2014/chart" uri="{C3380CC4-5D6E-409C-BE32-E72D297353CC}">
                <c16:uniqueId val="{00000043-9447-4120-87B1-CDB81511249C}"/>
              </c:ext>
            </c:extLst>
          </c:dPt>
          <c:dPt>
            <c:idx val="34"/>
            <c:invertIfNegative val="0"/>
            <c:bubble3D val="0"/>
            <c:spPr>
              <a:solidFill>
                <a:srgbClr val="544726"/>
              </a:solidFill>
            </c:spPr>
            <c:extLst>
              <c:ext xmlns:c16="http://schemas.microsoft.com/office/drawing/2014/chart" uri="{C3380CC4-5D6E-409C-BE32-E72D297353CC}">
                <c16:uniqueId val="{00000045-9447-4120-87B1-CDB81511249C}"/>
              </c:ext>
            </c:extLst>
          </c:dPt>
          <c:dPt>
            <c:idx val="35"/>
            <c:invertIfNegative val="0"/>
            <c:bubble3D val="0"/>
            <c:spPr>
              <a:solidFill>
                <a:srgbClr val="544726"/>
              </a:solidFill>
            </c:spPr>
            <c:extLst>
              <c:ext xmlns:c16="http://schemas.microsoft.com/office/drawing/2014/chart" uri="{C3380CC4-5D6E-409C-BE32-E72D297353CC}">
                <c16:uniqueId val="{00000047-10C7-4CF7-A6CE-7F40BB3B9F1D}"/>
              </c:ext>
            </c:extLst>
          </c:dPt>
          <c:dPt>
            <c:idx val="36"/>
            <c:invertIfNegative val="0"/>
            <c:bubble3D val="0"/>
            <c:spPr>
              <a:solidFill>
                <a:srgbClr val="544726"/>
              </a:solidFill>
            </c:spPr>
            <c:extLst>
              <c:ext xmlns:c16="http://schemas.microsoft.com/office/drawing/2014/chart" uri="{C3380CC4-5D6E-409C-BE32-E72D297353CC}">
                <c16:uniqueId val="{00000048-10C7-4CF7-A6CE-7F40BB3B9F1D}"/>
              </c:ext>
            </c:extLst>
          </c:dPt>
          <c:dPt>
            <c:idx val="37"/>
            <c:invertIfNegative val="0"/>
            <c:bubble3D val="0"/>
            <c:spPr>
              <a:solidFill>
                <a:srgbClr val="544726"/>
              </a:solidFill>
            </c:spPr>
            <c:extLst>
              <c:ext xmlns:c16="http://schemas.microsoft.com/office/drawing/2014/chart" uri="{C3380CC4-5D6E-409C-BE32-E72D297353CC}">
                <c16:uniqueId val="{00000049-10C7-4CF7-A6CE-7F40BB3B9F1D}"/>
              </c:ext>
            </c:extLst>
          </c:dPt>
          <c:dPt>
            <c:idx val="48"/>
            <c:invertIfNegative val="0"/>
            <c:bubble3D val="0"/>
            <c:spPr>
              <a:solidFill>
                <a:srgbClr val="FFFFCC"/>
              </a:solidFill>
            </c:spPr>
            <c:extLst>
              <c:ext xmlns:c16="http://schemas.microsoft.com/office/drawing/2014/chart" uri="{C3380CC4-5D6E-409C-BE32-E72D297353CC}">
                <c16:uniqueId val="{0000004E-10C7-4CF7-A6CE-7F40BB3B9F1D}"/>
              </c:ext>
            </c:extLst>
          </c:dPt>
          <c:cat>
            <c:multiLvlStrRef>
              <c:f>'Data for UG graph'!$H$1:$DL$3</c:f>
              <c:multiLvlStrCache>
                <c:ptCount val="30"/>
                <c:lvl>
                  <c:pt idx="0">
                    <c:v>2020</c:v>
                  </c:pt>
                  <c:pt idx="1">
                    <c:v>2021</c:v>
                  </c:pt>
                  <c:pt idx="2">
                    <c:v>2022</c:v>
                  </c:pt>
                  <c:pt idx="3">
                    <c:v>2023</c:v>
                  </c:pt>
                  <c:pt idx="4">
                    <c:v>2024</c:v>
                  </c:pt>
                  <c:pt idx="5">
                    <c:v>2020</c:v>
                  </c:pt>
                  <c:pt idx="6">
                    <c:v>2021</c:v>
                  </c:pt>
                  <c:pt idx="7">
                    <c:v>2022</c:v>
                  </c:pt>
                  <c:pt idx="8">
                    <c:v>2023</c:v>
                  </c:pt>
                  <c:pt idx="9">
                    <c:v>2024</c:v>
                  </c:pt>
                  <c:pt idx="10">
                    <c:v>2020</c:v>
                  </c:pt>
                  <c:pt idx="11">
                    <c:v>2021</c:v>
                  </c:pt>
                  <c:pt idx="12">
                    <c:v>2022</c:v>
                  </c:pt>
                  <c:pt idx="13">
                    <c:v>2023</c:v>
                  </c:pt>
                  <c:pt idx="14">
                    <c:v>2024</c:v>
                  </c:pt>
                  <c:pt idx="15">
                    <c:v>2020</c:v>
                  </c:pt>
                  <c:pt idx="16">
                    <c:v>2021</c:v>
                  </c:pt>
                  <c:pt idx="17">
                    <c:v>2022</c:v>
                  </c:pt>
                  <c:pt idx="18">
                    <c:v>2023</c:v>
                  </c:pt>
                  <c:pt idx="19">
                    <c:v>2024</c:v>
                  </c:pt>
                  <c:pt idx="20">
                    <c:v>2020</c:v>
                  </c:pt>
                  <c:pt idx="21">
                    <c:v>2021</c:v>
                  </c:pt>
                  <c:pt idx="22">
                    <c:v>2022</c:v>
                  </c:pt>
                  <c:pt idx="23">
                    <c:v>2023</c:v>
                  </c:pt>
                  <c:pt idx="24">
                    <c:v>2024</c:v>
                  </c:pt>
                  <c:pt idx="25">
                    <c:v>2020</c:v>
                  </c:pt>
                  <c:pt idx="26">
                    <c:v>2021</c:v>
                  </c:pt>
                  <c:pt idx="27">
                    <c:v>2022</c:v>
                  </c:pt>
                  <c:pt idx="28">
                    <c:v>2023</c:v>
                  </c:pt>
                  <c:pt idx="29">
                    <c:v>2024</c:v>
                  </c:pt>
                </c:lvl>
                <c:lvl>
                  <c:pt idx="0">
                    <c:v>Ag &amp; Life Sci</c:v>
                  </c:pt>
                  <c:pt idx="5">
                    <c:v>Business</c:v>
                  </c:pt>
                  <c:pt idx="10">
                    <c:v>Design</c:v>
                  </c:pt>
                  <c:pt idx="15">
                    <c:v>Engineering</c:v>
                  </c:pt>
                  <c:pt idx="20">
                    <c:v>Human Sci</c:v>
                  </c:pt>
                  <c:pt idx="25">
                    <c:v>LAS</c:v>
                  </c:pt>
                </c:lvl>
              </c:multiLvlStrCache>
            </c:multiLvlStrRef>
          </c:cat>
          <c:val>
            <c:numRef>
              <c:f>'Data for UG graph'!$C$4:$DL$4</c:f>
              <c:numCache>
                <c:formatCode>??.0</c:formatCode>
                <c:ptCount val="30"/>
                <c:pt idx="0">
                  <c:v>33.799999999999997</c:v>
                </c:pt>
                <c:pt idx="1">
                  <c:v>32.4</c:v>
                </c:pt>
                <c:pt idx="2">
                  <c:v>33.1</c:v>
                </c:pt>
                <c:pt idx="3">
                  <c:v>32.700000000000003</c:v>
                </c:pt>
                <c:pt idx="4">
                  <c:v>34</c:v>
                </c:pt>
                <c:pt idx="5">
                  <c:v>52</c:v>
                </c:pt>
                <c:pt idx="6">
                  <c:v>49.1</c:v>
                </c:pt>
                <c:pt idx="7">
                  <c:v>43.4</c:v>
                </c:pt>
                <c:pt idx="8">
                  <c:v>46.1</c:v>
                </c:pt>
                <c:pt idx="9">
                  <c:v>50.4</c:v>
                </c:pt>
                <c:pt idx="10">
                  <c:v>28</c:v>
                </c:pt>
                <c:pt idx="11">
                  <c:v>29.6</c:v>
                </c:pt>
                <c:pt idx="12">
                  <c:v>30.9</c:v>
                </c:pt>
                <c:pt idx="13">
                  <c:v>34.5</c:v>
                </c:pt>
                <c:pt idx="14">
                  <c:v>32.799999999999997</c:v>
                </c:pt>
                <c:pt idx="15">
                  <c:v>34.9</c:v>
                </c:pt>
                <c:pt idx="16">
                  <c:v>35.200000000000003</c:v>
                </c:pt>
                <c:pt idx="17">
                  <c:v>34</c:v>
                </c:pt>
                <c:pt idx="18">
                  <c:v>35.4</c:v>
                </c:pt>
                <c:pt idx="19">
                  <c:v>32.9</c:v>
                </c:pt>
                <c:pt idx="20">
                  <c:v>35</c:v>
                </c:pt>
                <c:pt idx="21">
                  <c:v>34.9</c:v>
                </c:pt>
                <c:pt idx="22">
                  <c:v>34.6</c:v>
                </c:pt>
                <c:pt idx="23">
                  <c:v>36.6</c:v>
                </c:pt>
                <c:pt idx="24">
                  <c:v>36.299999999999997</c:v>
                </c:pt>
                <c:pt idx="25">
                  <c:v>36.200000000000003</c:v>
                </c:pt>
                <c:pt idx="26">
                  <c:v>36.700000000000003</c:v>
                </c:pt>
                <c:pt idx="27">
                  <c:v>37.6</c:v>
                </c:pt>
                <c:pt idx="28">
                  <c:v>38.299999999999997</c:v>
                </c:pt>
                <c:pt idx="29">
                  <c:v>37.799999999999997</c:v>
                </c:pt>
              </c:numCache>
            </c:numRef>
          </c:val>
          <c:extLst>
            <c:ext xmlns:c16="http://schemas.microsoft.com/office/drawing/2014/chart" uri="{C3380CC4-5D6E-409C-BE32-E72D297353CC}">
              <c16:uniqueId val="{00000046-9447-4120-87B1-CDB81511249C}"/>
            </c:ext>
          </c:extLst>
        </c:ser>
        <c:dLbls>
          <c:showLegendKey val="0"/>
          <c:showVal val="0"/>
          <c:showCatName val="0"/>
          <c:showSerName val="0"/>
          <c:showPercent val="0"/>
          <c:showBubbleSize val="0"/>
        </c:dLbls>
        <c:gapWidth val="15"/>
        <c:overlap val="13"/>
        <c:axId val="251780272"/>
        <c:axId val="251780664"/>
      </c:barChart>
      <c:lineChart>
        <c:grouping val="standard"/>
        <c:varyColors val="0"/>
        <c:dLbls>
          <c:showLegendKey val="0"/>
          <c:showVal val="0"/>
          <c:showCatName val="0"/>
          <c:showSerName val="0"/>
          <c:showPercent val="0"/>
          <c:showBubbleSize val="0"/>
        </c:dLbls>
        <c:marker val="1"/>
        <c:smooth val="0"/>
        <c:axId val="251780272"/>
        <c:axId val="251780664"/>
        <c:extLst>
          <c:ext xmlns:c15="http://schemas.microsoft.com/office/drawing/2012/chart" uri="{02D57815-91ED-43cb-92C2-25804820EDAC}">
            <c15:filteredLineSeries>
              <c15:ser>
                <c:idx val="1"/>
                <c:order val="1"/>
                <c:tx>
                  <c:strRef>
                    <c:extLst>
                      <c:ext uri="{02D57815-91ED-43cb-92C2-25804820EDAC}">
                        <c15:formulaRef>
                          <c15:sqref>'Data for UG graph'!$A$5</c15:sqref>
                        </c15:formulaRef>
                      </c:ext>
                    </c:extLst>
                    <c:strCache>
                      <c:ptCount val="1"/>
                      <c:pt idx="0">
                        <c:v>Five year Ave</c:v>
                      </c:pt>
                    </c:strCache>
                  </c:strRef>
                </c:tx>
                <c:spPr>
                  <a:ln>
                    <a:solidFill>
                      <a:srgbClr val="7030A0"/>
                    </a:solidFill>
                  </a:ln>
                </c:spPr>
                <c:marker>
                  <c:symbol val="none"/>
                </c:marker>
                <c:cat>
                  <c:strRef>
                    <c:extLst>
                      <c:ext uri="{02D57815-91ED-43cb-92C2-25804820EDAC}">
                        <c15:formulaRef>
                          <c15:sqref>'Data for UG graph'!$H$3:$DL$3</c15:sqref>
                        </c15:formulaRef>
                      </c:ext>
                    </c:extLst>
                    <c:strCache>
                      <c:ptCount val="30"/>
                      <c:pt idx="0">
                        <c:v>2020</c:v>
                      </c:pt>
                      <c:pt idx="1">
                        <c:v>2021</c:v>
                      </c:pt>
                      <c:pt idx="2">
                        <c:v>2022</c:v>
                      </c:pt>
                      <c:pt idx="3">
                        <c:v>2023</c:v>
                      </c:pt>
                      <c:pt idx="4">
                        <c:v>2024</c:v>
                      </c:pt>
                      <c:pt idx="5">
                        <c:v>2020</c:v>
                      </c:pt>
                      <c:pt idx="6">
                        <c:v>2021</c:v>
                      </c:pt>
                      <c:pt idx="7">
                        <c:v>2022</c:v>
                      </c:pt>
                      <c:pt idx="8">
                        <c:v>2023</c:v>
                      </c:pt>
                      <c:pt idx="9">
                        <c:v>2024</c:v>
                      </c:pt>
                      <c:pt idx="10">
                        <c:v>2020</c:v>
                      </c:pt>
                      <c:pt idx="11">
                        <c:v>2021</c:v>
                      </c:pt>
                      <c:pt idx="12">
                        <c:v>2022</c:v>
                      </c:pt>
                      <c:pt idx="13">
                        <c:v>2023</c:v>
                      </c:pt>
                      <c:pt idx="14">
                        <c:v>2024</c:v>
                      </c:pt>
                      <c:pt idx="15">
                        <c:v>2020</c:v>
                      </c:pt>
                      <c:pt idx="16">
                        <c:v>2021</c:v>
                      </c:pt>
                      <c:pt idx="17">
                        <c:v>2022</c:v>
                      </c:pt>
                      <c:pt idx="18">
                        <c:v>2023</c:v>
                      </c:pt>
                      <c:pt idx="19">
                        <c:v>2024</c:v>
                      </c:pt>
                      <c:pt idx="20">
                        <c:v>2020</c:v>
                      </c:pt>
                      <c:pt idx="21">
                        <c:v>2021</c:v>
                      </c:pt>
                      <c:pt idx="22">
                        <c:v>2022</c:v>
                      </c:pt>
                      <c:pt idx="23">
                        <c:v>2023</c:v>
                      </c:pt>
                      <c:pt idx="24">
                        <c:v>2024</c:v>
                      </c:pt>
                      <c:pt idx="25">
                        <c:v>2020</c:v>
                      </c:pt>
                      <c:pt idx="26">
                        <c:v>2021</c:v>
                      </c:pt>
                      <c:pt idx="27">
                        <c:v>2022</c:v>
                      </c:pt>
                      <c:pt idx="28">
                        <c:v>2023</c:v>
                      </c:pt>
                      <c:pt idx="29">
                        <c:v>2024</c:v>
                      </c:pt>
                    </c:strCache>
                  </c:strRef>
                </c:cat>
                <c:val>
                  <c:numRef>
                    <c:extLst>
                      <c:ext uri="{02D57815-91ED-43cb-92C2-25804820EDAC}">
                        <c15:formulaRef>
                          <c15:sqref>'Data for UG graph'!$H$5:$DL$5</c15:sqref>
                        </c15:formulaRef>
                      </c:ext>
                    </c:extLst>
                    <c:numCache>
                      <c:formatCode>??.0</c:formatCode>
                      <c:ptCount val="30"/>
                      <c:pt idx="0">
                        <c:v>37.719999999999992</c:v>
                      </c:pt>
                      <c:pt idx="1">
                        <c:v>36.200000000000003</c:v>
                      </c:pt>
                      <c:pt idx="2">
                        <c:v>34.799999999999997</c:v>
                      </c:pt>
                      <c:pt idx="3">
                        <c:v>33.679999999999993</c:v>
                      </c:pt>
                      <c:pt idx="4">
                        <c:v>33.200000000000003</c:v>
                      </c:pt>
                      <c:pt idx="5">
                        <c:v>53.160000000000004</c:v>
                      </c:pt>
                      <c:pt idx="6">
                        <c:v>52</c:v>
                      </c:pt>
                      <c:pt idx="7">
                        <c:v>49.56</c:v>
                      </c:pt>
                      <c:pt idx="8">
                        <c:v>48.260000000000005</c:v>
                      </c:pt>
                      <c:pt idx="9">
                        <c:v>48.2</c:v>
                      </c:pt>
                      <c:pt idx="10">
                        <c:v>29.1</c:v>
                      </c:pt>
                      <c:pt idx="11">
                        <c:v>29.160000000000004</c:v>
                      </c:pt>
                      <c:pt idx="12">
                        <c:v>29.5</c:v>
                      </c:pt>
                      <c:pt idx="13">
                        <c:v>30.7</c:v>
                      </c:pt>
                      <c:pt idx="14">
                        <c:v>31.160000000000004</c:v>
                      </c:pt>
                      <c:pt idx="15">
                        <c:v>38.019999999999996</c:v>
                      </c:pt>
                      <c:pt idx="16">
                        <c:v>37.14</c:v>
                      </c:pt>
                      <c:pt idx="17">
                        <c:v>36.06</c:v>
                      </c:pt>
                      <c:pt idx="18">
                        <c:v>35.28</c:v>
                      </c:pt>
                      <c:pt idx="19">
                        <c:v>34.480000000000004</c:v>
                      </c:pt>
                      <c:pt idx="20">
                        <c:v>38.78</c:v>
                      </c:pt>
                      <c:pt idx="21">
                        <c:v>37.040000000000006</c:v>
                      </c:pt>
                      <c:pt idx="22">
                        <c:v>35.72</c:v>
                      </c:pt>
                      <c:pt idx="23">
                        <c:v>35.4</c:v>
                      </c:pt>
                      <c:pt idx="24">
                        <c:v>35.479999999999997</c:v>
                      </c:pt>
                      <c:pt idx="25">
                        <c:v>37.92</c:v>
                      </c:pt>
                      <c:pt idx="26">
                        <c:v>37.479999999999997</c:v>
                      </c:pt>
                      <c:pt idx="27">
                        <c:v>37.28</c:v>
                      </c:pt>
                      <c:pt idx="28">
                        <c:v>37.239999999999995</c:v>
                      </c:pt>
                      <c:pt idx="29">
                        <c:v>37.320000000000007</c:v>
                      </c:pt>
                    </c:numCache>
                  </c:numRef>
                </c:val>
                <c:smooth val="0"/>
                <c:extLst>
                  <c:ext xmlns:c16="http://schemas.microsoft.com/office/drawing/2014/chart" uri="{C3380CC4-5D6E-409C-BE32-E72D297353CC}">
                    <c16:uniqueId val="{00000046-10C7-4CF7-A6CE-7F40BB3B9F1D}"/>
                  </c:ext>
                </c:extLst>
              </c15:ser>
            </c15:filteredLineSeries>
          </c:ext>
        </c:extLst>
      </c:lineChart>
      <c:catAx>
        <c:axId val="251780272"/>
        <c:scaling>
          <c:orientation val="minMax"/>
        </c:scaling>
        <c:delete val="0"/>
        <c:axPos val="b"/>
        <c:numFmt formatCode="General" sourceLinked="1"/>
        <c:majorTickMark val="none"/>
        <c:minorTickMark val="none"/>
        <c:tickLblPos val="nextTo"/>
        <c:spPr>
          <a:ln w="12700">
            <a:solidFill>
              <a:schemeClr val="tx1"/>
            </a:solidFill>
          </a:ln>
        </c:spPr>
        <c:txPr>
          <a:bodyPr/>
          <a:lstStyle/>
          <a:p>
            <a:pPr>
              <a:defRPr sz="800" b="1"/>
            </a:pPr>
            <a:endParaRPr lang="en-US"/>
          </a:p>
        </c:txPr>
        <c:crossAx val="251780664"/>
        <c:crossesAt val="0"/>
        <c:auto val="0"/>
        <c:lblAlgn val="ctr"/>
        <c:lblOffset val="100"/>
        <c:noMultiLvlLbl val="0"/>
      </c:catAx>
      <c:valAx>
        <c:axId val="251780664"/>
        <c:scaling>
          <c:orientation val="minMax"/>
        </c:scaling>
        <c:delete val="0"/>
        <c:axPos val="l"/>
        <c:title>
          <c:tx>
            <c:rich>
              <a:bodyPr rot="-5400000" vert="horz"/>
              <a:lstStyle/>
              <a:p>
                <a:pPr>
                  <a:defRPr/>
                </a:pPr>
                <a:r>
                  <a:rPr lang="en-US"/>
                  <a:t>NUMBER OF STUDENTS</a:t>
                </a:r>
              </a:p>
            </c:rich>
          </c:tx>
          <c:layout>
            <c:manualLayout>
              <c:xMode val="edge"/>
              <c:yMode val="edge"/>
              <c:x val="1.0028857885468025E-3"/>
              <c:y val="0.25959711520807954"/>
            </c:manualLayout>
          </c:layout>
          <c:overlay val="0"/>
        </c:title>
        <c:numFmt formatCode="#,##0" sourceLinked="0"/>
        <c:majorTickMark val="out"/>
        <c:minorTickMark val="none"/>
        <c:tickLblPos val="nextTo"/>
        <c:spPr>
          <a:ln w="12700">
            <a:solidFill>
              <a:schemeClr val="tx1"/>
            </a:solidFill>
          </a:ln>
        </c:spPr>
        <c:txPr>
          <a:bodyPr/>
          <a:lstStyle/>
          <a:p>
            <a:pPr>
              <a:defRPr b="1"/>
            </a:pPr>
            <a:endParaRPr lang="en-US"/>
          </a:p>
        </c:txPr>
        <c:crossAx val="251780272"/>
        <c:crosses val="autoZero"/>
        <c:crossBetween val="between"/>
      </c:valAx>
    </c:plotArea>
    <c:legend>
      <c:legendPos val="t"/>
      <c:legendEntry>
        <c:idx val="0"/>
        <c:delete val="1"/>
      </c:legendEntry>
      <c:layout>
        <c:manualLayout>
          <c:xMode val="edge"/>
          <c:yMode val="edge"/>
          <c:x val="0.42176485362654537"/>
          <c:y val="8.3413589200463739E-2"/>
          <c:w val="0.14414257443041936"/>
          <c:h val="5.3918090650704083E-2"/>
        </c:manualLayout>
      </c:layout>
      <c:overlay val="0"/>
    </c:legend>
    <c:plotVisOnly val="1"/>
    <c:dispBlanksAs val="gap"/>
    <c:showDLblsOverMax val="0"/>
  </c:chart>
  <c:spPr>
    <a:noFill/>
    <a:ln>
      <a:noFill/>
    </a:ln>
  </c:spPr>
  <c:txPr>
    <a:bodyPr/>
    <a:lstStyle/>
    <a:p>
      <a:pPr>
        <a:defRPr sz="1200">
          <a:latin typeface="Univers LT Std 45 Light" panose="020B0703030502020204"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Univers LT Std 45 Light" panose="020B0703030502020204" pitchFamily="34" charset="0"/>
                <a:ea typeface="+mn-ea"/>
                <a:cs typeface="+mn-cs"/>
              </a:defRPr>
            </a:pPr>
            <a:r>
              <a:rPr lang="en-US" sz="1800">
                <a:solidFill>
                  <a:schemeClr val="tx1"/>
                </a:solidFill>
              </a:rPr>
              <a:t>Average Graduate</a:t>
            </a:r>
            <a:r>
              <a:rPr lang="en-US" sz="1800" baseline="0">
                <a:solidFill>
                  <a:schemeClr val="tx1"/>
                </a:solidFill>
              </a:rPr>
              <a:t> </a:t>
            </a:r>
            <a:r>
              <a:rPr lang="en-US" sz="1800">
                <a:solidFill>
                  <a:schemeClr val="tx1"/>
                </a:solidFill>
              </a:rPr>
              <a:t>Section Size</a:t>
            </a:r>
          </a:p>
        </c:rich>
      </c:tx>
      <c:layout>
        <c:manualLayout>
          <c:xMode val="edge"/>
          <c:yMode val="edge"/>
          <c:x val="0.30541557934981262"/>
          <c:y val="0.15443038443723944"/>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Univers LT Std 45 Light" panose="020B0703030502020204" pitchFamily="34" charset="0"/>
              <a:ea typeface="+mn-ea"/>
              <a:cs typeface="+mn-cs"/>
            </a:defRPr>
          </a:pPr>
          <a:endParaRPr lang="en-US"/>
        </a:p>
      </c:txPr>
    </c:title>
    <c:autoTitleDeleted val="0"/>
    <c:plotArea>
      <c:layout>
        <c:manualLayout>
          <c:layoutTarget val="inner"/>
          <c:xMode val="edge"/>
          <c:yMode val="edge"/>
          <c:x val="8.282723345259535E-2"/>
          <c:y val="0.12666671046007003"/>
          <c:w val="0.9037417205841719"/>
          <c:h val="0.72098104418175701"/>
        </c:manualLayout>
      </c:layout>
      <c:barChart>
        <c:barDir val="col"/>
        <c:grouping val="clustered"/>
        <c:varyColors val="0"/>
        <c:ser>
          <c:idx val="0"/>
          <c:order val="0"/>
          <c:tx>
            <c:strRef>
              <c:f>'Data for Grad Graph'!$A$5</c:f>
              <c:strCache>
                <c:ptCount val="1"/>
                <c:pt idx="0">
                  <c:v>Graduate Average Section Size</c:v>
                </c:pt>
              </c:strCache>
            </c:strRef>
          </c:tx>
          <c:spPr>
            <a:solidFill>
              <a:schemeClr val="accent1"/>
            </a:solidFill>
            <a:ln>
              <a:noFill/>
            </a:ln>
            <a:effectLst/>
          </c:spPr>
          <c:invertIfNegative val="0"/>
          <c:dPt>
            <c:idx val="0"/>
            <c:invertIfNegative val="0"/>
            <c:bubble3D val="0"/>
            <c:spPr>
              <a:solidFill>
                <a:srgbClr val="076D54"/>
              </a:solidFill>
              <a:ln>
                <a:noFill/>
              </a:ln>
              <a:effectLst/>
            </c:spPr>
            <c:extLst>
              <c:ext xmlns:c16="http://schemas.microsoft.com/office/drawing/2014/chart" uri="{C3380CC4-5D6E-409C-BE32-E72D297353CC}">
                <c16:uniqueId val="{00000001-667D-4FD8-8882-891D739684B1}"/>
              </c:ext>
            </c:extLst>
          </c:dPt>
          <c:dPt>
            <c:idx val="1"/>
            <c:invertIfNegative val="0"/>
            <c:bubble3D val="0"/>
            <c:spPr>
              <a:solidFill>
                <a:srgbClr val="076D54"/>
              </a:solidFill>
              <a:ln>
                <a:noFill/>
              </a:ln>
              <a:effectLst/>
            </c:spPr>
            <c:extLst>
              <c:ext xmlns:c16="http://schemas.microsoft.com/office/drawing/2014/chart" uri="{C3380CC4-5D6E-409C-BE32-E72D297353CC}">
                <c16:uniqueId val="{00000003-667D-4FD8-8882-891D739684B1}"/>
              </c:ext>
            </c:extLst>
          </c:dPt>
          <c:dPt>
            <c:idx val="2"/>
            <c:invertIfNegative val="0"/>
            <c:bubble3D val="0"/>
            <c:spPr>
              <a:solidFill>
                <a:srgbClr val="076D54"/>
              </a:solidFill>
              <a:ln>
                <a:noFill/>
              </a:ln>
              <a:effectLst/>
            </c:spPr>
            <c:extLst>
              <c:ext xmlns:c16="http://schemas.microsoft.com/office/drawing/2014/chart" uri="{C3380CC4-5D6E-409C-BE32-E72D297353CC}">
                <c16:uniqueId val="{00000005-667D-4FD8-8882-891D739684B1}"/>
              </c:ext>
            </c:extLst>
          </c:dPt>
          <c:dPt>
            <c:idx val="3"/>
            <c:invertIfNegative val="0"/>
            <c:bubble3D val="0"/>
            <c:spPr>
              <a:solidFill>
                <a:srgbClr val="076D54"/>
              </a:solidFill>
              <a:ln>
                <a:noFill/>
              </a:ln>
              <a:effectLst/>
            </c:spPr>
            <c:extLst>
              <c:ext xmlns:c16="http://schemas.microsoft.com/office/drawing/2014/chart" uri="{C3380CC4-5D6E-409C-BE32-E72D297353CC}">
                <c16:uniqueId val="{00000007-667D-4FD8-8882-891D739684B1}"/>
              </c:ext>
            </c:extLst>
          </c:dPt>
          <c:dPt>
            <c:idx val="4"/>
            <c:invertIfNegative val="0"/>
            <c:bubble3D val="0"/>
            <c:spPr>
              <a:solidFill>
                <a:srgbClr val="076D54"/>
              </a:solidFill>
              <a:ln>
                <a:noFill/>
              </a:ln>
              <a:effectLst/>
            </c:spPr>
            <c:extLst>
              <c:ext xmlns:c16="http://schemas.microsoft.com/office/drawing/2014/chart" uri="{C3380CC4-5D6E-409C-BE32-E72D297353CC}">
                <c16:uniqueId val="{00000009-667D-4FD8-8882-891D739684B1}"/>
              </c:ext>
            </c:extLst>
          </c:dPt>
          <c:dPt>
            <c:idx val="5"/>
            <c:invertIfNegative val="0"/>
            <c:bubble3D val="0"/>
            <c:spPr>
              <a:solidFill>
                <a:srgbClr val="C4B796"/>
              </a:solidFill>
              <a:ln>
                <a:noFill/>
              </a:ln>
              <a:effectLst/>
            </c:spPr>
            <c:extLst>
              <c:ext xmlns:c16="http://schemas.microsoft.com/office/drawing/2014/chart" uri="{C3380CC4-5D6E-409C-BE32-E72D297353CC}">
                <c16:uniqueId val="{0000000B-667D-4FD8-8882-891D739684B1}"/>
              </c:ext>
            </c:extLst>
          </c:dPt>
          <c:dPt>
            <c:idx val="6"/>
            <c:invertIfNegative val="0"/>
            <c:bubble3D val="0"/>
            <c:spPr>
              <a:solidFill>
                <a:srgbClr val="C4B796"/>
              </a:solidFill>
              <a:ln>
                <a:noFill/>
              </a:ln>
              <a:effectLst/>
            </c:spPr>
            <c:extLst>
              <c:ext xmlns:c16="http://schemas.microsoft.com/office/drawing/2014/chart" uri="{C3380CC4-5D6E-409C-BE32-E72D297353CC}">
                <c16:uniqueId val="{0000000D-667D-4FD8-8882-891D739684B1}"/>
              </c:ext>
            </c:extLst>
          </c:dPt>
          <c:dPt>
            <c:idx val="7"/>
            <c:invertIfNegative val="0"/>
            <c:bubble3D val="0"/>
            <c:spPr>
              <a:solidFill>
                <a:srgbClr val="C4B796"/>
              </a:solidFill>
              <a:ln>
                <a:noFill/>
              </a:ln>
              <a:effectLst/>
            </c:spPr>
            <c:extLst>
              <c:ext xmlns:c16="http://schemas.microsoft.com/office/drawing/2014/chart" uri="{C3380CC4-5D6E-409C-BE32-E72D297353CC}">
                <c16:uniqueId val="{0000000F-667D-4FD8-8882-891D739684B1}"/>
              </c:ext>
            </c:extLst>
          </c:dPt>
          <c:dPt>
            <c:idx val="8"/>
            <c:invertIfNegative val="0"/>
            <c:bubble3D val="0"/>
            <c:spPr>
              <a:solidFill>
                <a:srgbClr val="C4B796"/>
              </a:solidFill>
              <a:ln>
                <a:noFill/>
              </a:ln>
              <a:effectLst/>
            </c:spPr>
            <c:extLst>
              <c:ext xmlns:c16="http://schemas.microsoft.com/office/drawing/2014/chart" uri="{C3380CC4-5D6E-409C-BE32-E72D297353CC}">
                <c16:uniqueId val="{00000011-667D-4FD8-8882-891D739684B1}"/>
              </c:ext>
            </c:extLst>
          </c:dPt>
          <c:dPt>
            <c:idx val="9"/>
            <c:invertIfNegative val="0"/>
            <c:bubble3D val="0"/>
            <c:spPr>
              <a:solidFill>
                <a:srgbClr val="C4B796"/>
              </a:solidFill>
              <a:ln>
                <a:noFill/>
              </a:ln>
              <a:effectLst/>
            </c:spPr>
            <c:extLst>
              <c:ext xmlns:c16="http://schemas.microsoft.com/office/drawing/2014/chart" uri="{C3380CC4-5D6E-409C-BE32-E72D297353CC}">
                <c16:uniqueId val="{00000013-667D-4FD8-8882-891D739684B1}"/>
              </c:ext>
            </c:extLst>
          </c:dPt>
          <c:dPt>
            <c:idx val="10"/>
            <c:invertIfNegative val="0"/>
            <c:bubble3D val="0"/>
            <c:spPr>
              <a:solidFill>
                <a:srgbClr val="8499A5"/>
              </a:solidFill>
              <a:ln>
                <a:noFill/>
              </a:ln>
              <a:effectLst/>
            </c:spPr>
            <c:extLst>
              <c:ext xmlns:c16="http://schemas.microsoft.com/office/drawing/2014/chart" uri="{C3380CC4-5D6E-409C-BE32-E72D297353CC}">
                <c16:uniqueId val="{00000015-667D-4FD8-8882-891D739684B1}"/>
              </c:ext>
            </c:extLst>
          </c:dPt>
          <c:dPt>
            <c:idx val="11"/>
            <c:invertIfNegative val="0"/>
            <c:bubble3D val="0"/>
            <c:spPr>
              <a:solidFill>
                <a:srgbClr val="8499A5"/>
              </a:solidFill>
              <a:ln>
                <a:noFill/>
              </a:ln>
              <a:effectLst/>
            </c:spPr>
            <c:extLst>
              <c:ext xmlns:c16="http://schemas.microsoft.com/office/drawing/2014/chart" uri="{C3380CC4-5D6E-409C-BE32-E72D297353CC}">
                <c16:uniqueId val="{00000017-667D-4FD8-8882-891D739684B1}"/>
              </c:ext>
            </c:extLst>
          </c:dPt>
          <c:dPt>
            <c:idx val="12"/>
            <c:invertIfNegative val="0"/>
            <c:bubble3D val="0"/>
            <c:spPr>
              <a:solidFill>
                <a:srgbClr val="8499A5"/>
              </a:solidFill>
              <a:ln>
                <a:noFill/>
              </a:ln>
              <a:effectLst/>
            </c:spPr>
            <c:extLst>
              <c:ext xmlns:c16="http://schemas.microsoft.com/office/drawing/2014/chart" uri="{C3380CC4-5D6E-409C-BE32-E72D297353CC}">
                <c16:uniqueId val="{00000019-667D-4FD8-8882-891D739684B1}"/>
              </c:ext>
            </c:extLst>
          </c:dPt>
          <c:dPt>
            <c:idx val="13"/>
            <c:invertIfNegative val="0"/>
            <c:bubble3D val="0"/>
            <c:spPr>
              <a:solidFill>
                <a:srgbClr val="8499A5"/>
              </a:solidFill>
              <a:ln>
                <a:noFill/>
              </a:ln>
              <a:effectLst/>
            </c:spPr>
            <c:extLst>
              <c:ext xmlns:c16="http://schemas.microsoft.com/office/drawing/2014/chart" uri="{C3380CC4-5D6E-409C-BE32-E72D297353CC}">
                <c16:uniqueId val="{0000001B-667D-4FD8-8882-891D739684B1}"/>
              </c:ext>
            </c:extLst>
          </c:dPt>
          <c:dPt>
            <c:idx val="14"/>
            <c:invertIfNegative val="0"/>
            <c:bubble3D val="0"/>
            <c:spPr>
              <a:solidFill>
                <a:srgbClr val="8499A5"/>
              </a:solidFill>
              <a:ln>
                <a:noFill/>
              </a:ln>
              <a:effectLst/>
            </c:spPr>
            <c:extLst>
              <c:ext xmlns:c16="http://schemas.microsoft.com/office/drawing/2014/chart" uri="{C3380CC4-5D6E-409C-BE32-E72D297353CC}">
                <c16:uniqueId val="{0000001D-667D-4FD8-8882-891D739684B1}"/>
              </c:ext>
            </c:extLst>
          </c:dPt>
          <c:dPt>
            <c:idx val="15"/>
            <c:invertIfNegative val="0"/>
            <c:bubble3D val="0"/>
            <c:spPr>
              <a:solidFill>
                <a:srgbClr val="CE1126"/>
              </a:solidFill>
              <a:ln>
                <a:noFill/>
              </a:ln>
              <a:effectLst/>
            </c:spPr>
            <c:extLst>
              <c:ext xmlns:c16="http://schemas.microsoft.com/office/drawing/2014/chart" uri="{C3380CC4-5D6E-409C-BE32-E72D297353CC}">
                <c16:uniqueId val="{0000001F-667D-4FD8-8882-891D739684B1}"/>
              </c:ext>
            </c:extLst>
          </c:dPt>
          <c:dPt>
            <c:idx val="16"/>
            <c:invertIfNegative val="0"/>
            <c:bubble3D val="0"/>
            <c:spPr>
              <a:solidFill>
                <a:srgbClr val="CE1126"/>
              </a:solidFill>
              <a:ln>
                <a:noFill/>
              </a:ln>
              <a:effectLst/>
            </c:spPr>
            <c:extLst>
              <c:ext xmlns:c16="http://schemas.microsoft.com/office/drawing/2014/chart" uri="{C3380CC4-5D6E-409C-BE32-E72D297353CC}">
                <c16:uniqueId val="{00000021-667D-4FD8-8882-891D739684B1}"/>
              </c:ext>
            </c:extLst>
          </c:dPt>
          <c:dPt>
            <c:idx val="17"/>
            <c:invertIfNegative val="0"/>
            <c:bubble3D val="0"/>
            <c:spPr>
              <a:solidFill>
                <a:srgbClr val="CE1126"/>
              </a:solidFill>
              <a:ln>
                <a:noFill/>
              </a:ln>
              <a:effectLst/>
            </c:spPr>
            <c:extLst>
              <c:ext xmlns:c16="http://schemas.microsoft.com/office/drawing/2014/chart" uri="{C3380CC4-5D6E-409C-BE32-E72D297353CC}">
                <c16:uniqueId val="{00000023-667D-4FD8-8882-891D739684B1}"/>
              </c:ext>
            </c:extLst>
          </c:dPt>
          <c:dPt>
            <c:idx val="18"/>
            <c:invertIfNegative val="0"/>
            <c:bubble3D val="0"/>
            <c:spPr>
              <a:solidFill>
                <a:srgbClr val="CE1126"/>
              </a:solidFill>
              <a:ln>
                <a:noFill/>
              </a:ln>
              <a:effectLst/>
            </c:spPr>
            <c:extLst>
              <c:ext xmlns:c16="http://schemas.microsoft.com/office/drawing/2014/chart" uri="{C3380CC4-5D6E-409C-BE32-E72D297353CC}">
                <c16:uniqueId val="{00000025-667D-4FD8-8882-891D739684B1}"/>
              </c:ext>
            </c:extLst>
          </c:dPt>
          <c:dPt>
            <c:idx val="19"/>
            <c:invertIfNegative val="0"/>
            <c:bubble3D val="0"/>
            <c:spPr>
              <a:solidFill>
                <a:srgbClr val="CE1126"/>
              </a:solidFill>
              <a:ln>
                <a:noFill/>
              </a:ln>
              <a:effectLst/>
            </c:spPr>
            <c:extLst>
              <c:ext xmlns:c16="http://schemas.microsoft.com/office/drawing/2014/chart" uri="{C3380CC4-5D6E-409C-BE32-E72D297353CC}">
                <c16:uniqueId val="{00000027-667D-4FD8-8882-891D739684B1}"/>
              </c:ext>
            </c:extLst>
          </c:dPt>
          <c:dPt>
            <c:idx val="20"/>
            <c:invertIfNegative val="0"/>
            <c:bubble3D val="0"/>
            <c:spPr>
              <a:solidFill>
                <a:srgbClr val="3A75C4"/>
              </a:solidFill>
              <a:ln>
                <a:noFill/>
              </a:ln>
              <a:effectLst/>
            </c:spPr>
            <c:extLst>
              <c:ext xmlns:c16="http://schemas.microsoft.com/office/drawing/2014/chart" uri="{C3380CC4-5D6E-409C-BE32-E72D297353CC}">
                <c16:uniqueId val="{00000029-667D-4FD8-8882-891D739684B1}"/>
              </c:ext>
            </c:extLst>
          </c:dPt>
          <c:dPt>
            <c:idx val="25"/>
            <c:invertIfNegative val="0"/>
            <c:bubble3D val="0"/>
            <c:spPr>
              <a:solidFill>
                <a:srgbClr val="F2BF49"/>
              </a:solidFill>
              <a:ln>
                <a:noFill/>
              </a:ln>
              <a:effectLst/>
            </c:spPr>
            <c:extLst>
              <c:ext xmlns:c16="http://schemas.microsoft.com/office/drawing/2014/chart" uri="{C3380CC4-5D6E-409C-BE32-E72D297353CC}">
                <c16:uniqueId val="{0000002B-667D-4FD8-8882-891D739684B1}"/>
              </c:ext>
            </c:extLst>
          </c:dPt>
          <c:dPt>
            <c:idx val="26"/>
            <c:invertIfNegative val="0"/>
            <c:bubble3D val="0"/>
            <c:spPr>
              <a:solidFill>
                <a:srgbClr val="F2BF49"/>
              </a:solidFill>
              <a:ln>
                <a:noFill/>
              </a:ln>
              <a:effectLst/>
            </c:spPr>
            <c:extLst>
              <c:ext xmlns:c16="http://schemas.microsoft.com/office/drawing/2014/chart" uri="{C3380CC4-5D6E-409C-BE32-E72D297353CC}">
                <c16:uniqueId val="{0000002D-667D-4FD8-8882-891D739684B1}"/>
              </c:ext>
            </c:extLst>
          </c:dPt>
          <c:dPt>
            <c:idx val="27"/>
            <c:invertIfNegative val="0"/>
            <c:bubble3D val="0"/>
            <c:spPr>
              <a:solidFill>
                <a:srgbClr val="F2BF49"/>
              </a:solidFill>
              <a:ln>
                <a:noFill/>
              </a:ln>
              <a:effectLst/>
            </c:spPr>
            <c:extLst>
              <c:ext xmlns:c16="http://schemas.microsoft.com/office/drawing/2014/chart" uri="{C3380CC4-5D6E-409C-BE32-E72D297353CC}">
                <c16:uniqueId val="{0000002F-667D-4FD8-8882-891D739684B1}"/>
              </c:ext>
            </c:extLst>
          </c:dPt>
          <c:dPt>
            <c:idx val="28"/>
            <c:invertIfNegative val="0"/>
            <c:bubble3D val="0"/>
            <c:spPr>
              <a:solidFill>
                <a:srgbClr val="F2BF49"/>
              </a:solidFill>
              <a:ln>
                <a:noFill/>
              </a:ln>
              <a:effectLst/>
            </c:spPr>
            <c:extLst>
              <c:ext xmlns:c16="http://schemas.microsoft.com/office/drawing/2014/chart" uri="{C3380CC4-5D6E-409C-BE32-E72D297353CC}">
                <c16:uniqueId val="{00000031-667D-4FD8-8882-891D739684B1}"/>
              </c:ext>
            </c:extLst>
          </c:dPt>
          <c:dPt>
            <c:idx val="29"/>
            <c:invertIfNegative val="0"/>
            <c:bubble3D val="0"/>
            <c:spPr>
              <a:solidFill>
                <a:srgbClr val="F2BF49"/>
              </a:solidFill>
              <a:ln>
                <a:noFill/>
              </a:ln>
              <a:effectLst/>
            </c:spPr>
            <c:extLst>
              <c:ext xmlns:c16="http://schemas.microsoft.com/office/drawing/2014/chart" uri="{C3380CC4-5D6E-409C-BE32-E72D297353CC}">
                <c16:uniqueId val="{00000033-667D-4FD8-8882-891D739684B1}"/>
              </c:ext>
            </c:extLst>
          </c:dPt>
          <c:cat>
            <c:multiLvlStrRef>
              <c:f>'Data for Grad Graph'!$B$3:$CS$4</c:f>
              <c:multiLvlStrCache>
                <c:ptCount val="30"/>
                <c:lvl>
                  <c:pt idx="0">
                    <c:v>2020</c:v>
                  </c:pt>
                  <c:pt idx="1">
                    <c:v>2021</c:v>
                  </c:pt>
                  <c:pt idx="2">
                    <c:v>2022</c:v>
                  </c:pt>
                  <c:pt idx="3">
                    <c:v>2023</c:v>
                  </c:pt>
                  <c:pt idx="4">
                    <c:v>2024</c:v>
                  </c:pt>
                  <c:pt idx="5">
                    <c:v>2020</c:v>
                  </c:pt>
                  <c:pt idx="6">
                    <c:v>2021</c:v>
                  </c:pt>
                  <c:pt idx="7">
                    <c:v>2022</c:v>
                  </c:pt>
                  <c:pt idx="8">
                    <c:v>2023</c:v>
                  </c:pt>
                  <c:pt idx="9">
                    <c:v>2024</c:v>
                  </c:pt>
                  <c:pt idx="10">
                    <c:v>2020</c:v>
                  </c:pt>
                  <c:pt idx="11">
                    <c:v>2021</c:v>
                  </c:pt>
                  <c:pt idx="12">
                    <c:v>2022</c:v>
                  </c:pt>
                  <c:pt idx="13">
                    <c:v>2023</c:v>
                  </c:pt>
                  <c:pt idx="14">
                    <c:v>2024</c:v>
                  </c:pt>
                  <c:pt idx="15">
                    <c:v>2020</c:v>
                  </c:pt>
                  <c:pt idx="16">
                    <c:v>2021</c:v>
                  </c:pt>
                  <c:pt idx="17">
                    <c:v>2022</c:v>
                  </c:pt>
                  <c:pt idx="18">
                    <c:v>2023</c:v>
                  </c:pt>
                  <c:pt idx="19">
                    <c:v>2024</c:v>
                  </c:pt>
                  <c:pt idx="20">
                    <c:v>2020</c:v>
                  </c:pt>
                  <c:pt idx="21">
                    <c:v>2021</c:v>
                  </c:pt>
                  <c:pt idx="22">
                    <c:v>2022</c:v>
                  </c:pt>
                  <c:pt idx="23">
                    <c:v>2023</c:v>
                  </c:pt>
                  <c:pt idx="24">
                    <c:v>2024</c:v>
                  </c:pt>
                  <c:pt idx="25">
                    <c:v>2020</c:v>
                  </c:pt>
                  <c:pt idx="26">
                    <c:v>2021</c:v>
                  </c:pt>
                  <c:pt idx="27">
                    <c:v>2022</c:v>
                  </c:pt>
                  <c:pt idx="28">
                    <c:v>2023</c:v>
                  </c:pt>
                  <c:pt idx="29">
                    <c:v>2024</c:v>
                  </c:pt>
                </c:lvl>
                <c:lvl>
                  <c:pt idx="0">
                    <c:v>Ag &amp; Life Sci</c:v>
                  </c:pt>
                  <c:pt idx="5">
                    <c:v> Business</c:v>
                  </c:pt>
                  <c:pt idx="10">
                    <c:v> Design</c:v>
                  </c:pt>
                  <c:pt idx="15">
                    <c:v> Engineering</c:v>
                  </c:pt>
                  <c:pt idx="20">
                    <c:v> Human Sci</c:v>
                  </c:pt>
                  <c:pt idx="25">
                    <c:v>LAS</c:v>
                  </c:pt>
                </c:lvl>
              </c:multiLvlStrCache>
            </c:multiLvlStrRef>
          </c:cat>
          <c:val>
            <c:numRef>
              <c:f>'Data for Grad Graph'!$B$5:$CS$5</c:f>
              <c:numCache>
                <c:formatCode>??.0</c:formatCode>
                <c:ptCount val="30"/>
                <c:pt idx="0">
                  <c:v>7.1</c:v>
                </c:pt>
                <c:pt idx="1">
                  <c:v>7.5</c:v>
                </c:pt>
                <c:pt idx="2">
                  <c:v>7.9</c:v>
                </c:pt>
                <c:pt idx="3">
                  <c:v>8.3000000000000007</c:v>
                </c:pt>
                <c:pt idx="4">
                  <c:v>8.9</c:v>
                </c:pt>
                <c:pt idx="5">
                  <c:v>21.1</c:v>
                </c:pt>
                <c:pt idx="6">
                  <c:v>17.8</c:v>
                </c:pt>
                <c:pt idx="7">
                  <c:v>18.2</c:v>
                </c:pt>
                <c:pt idx="8">
                  <c:v>17</c:v>
                </c:pt>
                <c:pt idx="9">
                  <c:v>18.7</c:v>
                </c:pt>
                <c:pt idx="10">
                  <c:v>7.7</c:v>
                </c:pt>
                <c:pt idx="11">
                  <c:v>9.1999999999999993</c:v>
                </c:pt>
                <c:pt idx="12">
                  <c:v>9.1</c:v>
                </c:pt>
                <c:pt idx="13">
                  <c:v>11.5</c:v>
                </c:pt>
                <c:pt idx="14">
                  <c:v>10</c:v>
                </c:pt>
                <c:pt idx="15">
                  <c:v>10.6</c:v>
                </c:pt>
                <c:pt idx="16">
                  <c:v>11.5</c:v>
                </c:pt>
                <c:pt idx="17">
                  <c:v>11.3</c:v>
                </c:pt>
                <c:pt idx="18">
                  <c:v>12.5</c:v>
                </c:pt>
                <c:pt idx="19">
                  <c:v>11.7</c:v>
                </c:pt>
                <c:pt idx="20">
                  <c:v>7.9</c:v>
                </c:pt>
                <c:pt idx="21">
                  <c:v>8.1999999999999993</c:v>
                </c:pt>
                <c:pt idx="22">
                  <c:v>8.1</c:v>
                </c:pt>
                <c:pt idx="23">
                  <c:v>9.9</c:v>
                </c:pt>
                <c:pt idx="24">
                  <c:v>9.6999999999999993</c:v>
                </c:pt>
                <c:pt idx="25">
                  <c:v>12.4</c:v>
                </c:pt>
                <c:pt idx="26">
                  <c:v>14</c:v>
                </c:pt>
                <c:pt idx="27">
                  <c:v>15.1</c:v>
                </c:pt>
                <c:pt idx="28">
                  <c:v>14.6</c:v>
                </c:pt>
                <c:pt idx="29">
                  <c:v>14.9</c:v>
                </c:pt>
              </c:numCache>
            </c:numRef>
          </c:val>
          <c:extLst>
            <c:ext xmlns:c16="http://schemas.microsoft.com/office/drawing/2014/chart" uri="{C3380CC4-5D6E-409C-BE32-E72D297353CC}">
              <c16:uniqueId val="{00000034-667D-4FD8-8882-891D739684B1}"/>
            </c:ext>
          </c:extLst>
        </c:ser>
        <c:dLbls>
          <c:showLegendKey val="0"/>
          <c:showVal val="0"/>
          <c:showCatName val="0"/>
          <c:showSerName val="0"/>
          <c:showPercent val="0"/>
          <c:showBubbleSize val="0"/>
        </c:dLbls>
        <c:gapWidth val="23"/>
        <c:overlap val="-27"/>
        <c:axId val="871030120"/>
        <c:axId val="871036680"/>
      </c:barChart>
      <c:lineChart>
        <c:grouping val="standard"/>
        <c:varyColors val="0"/>
        <c:dLbls>
          <c:showLegendKey val="0"/>
          <c:showVal val="0"/>
          <c:showCatName val="0"/>
          <c:showSerName val="0"/>
          <c:showPercent val="0"/>
          <c:showBubbleSize val="0"/>
        </c:dLbls>
        <c:marker val="1"/>
        <c:smooth val="0"/>
        <c:axId val="871030120"/>
        <c:axId val="871036680"/>
        <c:extLst>
          <c:ext xmlns:c15="http://schemas.microsoft.com/office/drawing/2012/chart" uri="{02D57815-91ED-43cb-92C2-25804820EDAC}">
            <c15:filteredLineSeries>
              <c15:ser>
                <c:idx val="1"/>
                <c:order val="1"/>
                <c:tx>
                  <c:strRef>
                    <c:extLst>
                      <c:ext uri="{02D57815-91ED-43cb-92C2-25804820EDAC}">
                        <c15:formulaRef>
                          <c15:sqref>'Data for Grad Graph'!$A$6</c15:sqref>
                        </c15:formulaRef>
                      </c:ext>
                    </c:extLst>
                    <c:strCache>
                      <c:ptCount val="1"/>
                      <c:pt idx="0">
                        <c:v>Five-year Rolling Average</c:v>
                      </c:pt>
                    </c:strCache>
                  </c:strRef>
                </c:tx>
                <c:spPr>
                  <a:ln w="28575" cap="rnd">
                    <a:solidFill>
                      <a:schemeClr val="accent2"/>
                    </a:solidFill>
                    <a:round/>
                  </a:ln>
                  <a:effectLst/>
                </c:spPr>
                <c:marker>
                  <c:symbol val="none"/>
                </c:marker>
                <c:cat>
                  <c:multiLvlStrRef>
                    <c:extLst>
                      <c:ext uri="{02D57815-91ED-43cb-92C2-25804820EDAC}">
                        <c15:formulaRef>
                          <c15:sqref>'Data for Grad Graph'!$B$3:$CS$4</c15:sqref>
                        </c15:formulaRef>
                      </c:ext>
                    </c:extLst>
                    <c:multiLvlStrCache>
                      <c:ptCount val="30"/>
                      <c:lvl>
                        <c:pt idx="0">
                          <c:v>2020</c:v>
                        </c:pt>
                        <c:pt idx="1">
                          <c:v>2021</c:v>
                        </c:pt>
                        <c:pt idx="2">
                          <c:v>2022</c:v>
                        </c:pt>
                        <c:pt idx="3">
                          <c:v>2023</c:v>
                        </c:pt>
                        <c:pt idx="4">
                          <c:v>2024</c:v>
                        </c:pt>
                        <c:pt idx="5">
                          <c:v>2020</c:v>
                        </c:pt>
                        <c:pt idx="6">
                          <c:v>2021</c:v>
                        </c:pt>
                        <c:pt idx="7">
                          <c:v>2022</c:v>
                        </c:pt>
                        <c:pt idx="8">
                          <c:v>2023</c:v>
                        </c:pt>
                        <c:pt idx="9">
                          <c:v>2024</c:v>
                        </c:pt>
                        <c:pt idx="10">
                          <c:v>2020</c:v>
                        </c:pt>
                        <c:pt idx="11">
                          <c:v>2021</c:v>
                        </c:pt>
                        <c:pt idx="12">
                          <c:v>2022</c:v>
                        </c:pt>
                        <c:pt idx="13">
                          <c:v>2023</c:v>
                        </c:pt>
                        <c:pt idx="14">
                          <c:v>2024</c:v>
                        </c:pt>
                        <c:pt idx="15">
                          <c:v>2020</c:v>
                        </c:pt>
                        <c:pt idx="16">
                          <c:v>2021</c:v>
                        </c:pt>
                        <c:pt idx="17">
                          <c:v>2022</c:v>
                        </c:pt>
                        <c:pt idx="18">
                          <c:v>2023</c:v>
                        </c:pt>
                        <c:pt idx="19">
                          <c:v>2024</c:v>
                        </c:pt>
                        <c:pt idx="20">
                          <c:v>2020</c:v>
                        </c:pt>
                        <c:pt idx="21">
                          <c:v>2021</c:v>
                        </c:pt>
                        <c:pt idx="22">
                          <c:v>2022</c:v>
                        </c:pt>
                        <c:pt idx="23">
                          <c:v>2023</c:v>
                        </c:pt>
                        <c:pt idx="24">
                          <c:v>2024</c:v>
                        </c:pt>
                        <c:pt idx="25">
                          <c:v>2020</c:v>
                        </c:pt>
                        <c:pt idx="26">
                          <c:v>2021</c:v>
                        </c:pt>
                        <c:pt idx="27">
                          <c:v>2022</c:v>
                        </c:pt>
                        <c:pt idx="28">
                          <c:v>2023</c:v>
                        </c:pt>
                        <c:pt idx="29">
                          <c:v>2024</c:v>
                        </c:pt>
                      </c:lvl>
                      <c:lvl>
                        <c:pt idx="0">
                          <c:v>Ag &amp; Life Sci</c:v>
                        </c:pt>
                        <c:pt idx="5">
                          <c:v> Business</c:v>
                        </c:pt>
                        <c:pt idx="10">
                          <c:v> Design</c:v>
                        </c:pt>
                        <c:pt idx="15">
                          <c:v> Engineering</c:v>
                        </c:pt>
                        <c:pt idx="20">
                          <c:v> Human Sci</c:v>
                        </c:pt>
                        <c:pt idx="25">
                          <c:v>LAS</c:v>
                        </c:pt>
                      </c:lvl>
                    </c:multiLvlStrCache>
                  </c:multiLvlStrRef>
                </c:cat>
                <c:val>
                  <c:numRef>
                    <c:extLst>
                      <c:ext uri="{02D57815-91ED-43cb-92C2-25804820EDAC}">
                        <c15:formulaRef>
                          <c15:sqref>'Data for Grad Graph'!$B$6:$CS$6</c15:sqref>
                        </c15:formulaRef>
                      </c:ext>
                    </c:extLst>
                    <c:numCache>
                      <c:formatCode>??.0</c:formatCode>
                      <c:ptCount val="30"/>
                      <c:pt idx="0">
                        <c:v>8.92</c:v>
                      </c:pt>
                      <c:pt idx="1">
                        <c:v>8.3000000000000007</c:v>
                      </c:pt>
                      <c:pt idx="2">
                        <c:v>8.0399999999999991</c:v>
                      </c:pt>
                      <c:pt idx="3">
                        <c:v>7.8800000000000008</c:v>
                      </c:pt>
                      <c:pt idx="4">
                        <c:v>7.94</c:v>
                      </c:pt>
                      <c:pt idx="5">
                        <c:v>18.72</c:v>
                      </c:pt>
                      <c:pt idx="6">
                        <c:v>18.34</c:v>
                      </c:pt>
                      <c:pt idx="7">
                        <c:v>18.000000000000004</c:v>
                      </c:pt>
                      <c:pt idx="8">
                        <c:v>17.880000000000003</c:v>
                      </c:pt>
                      <c:pt idx="9">
                        <c:v>18.560000000000002</c:v>
                      </c:pt>
                      <c:pt idx="10">
                        <c:v>8.8000000000000007</c:v>
                      </c:pt>
                      <c:pt idx="11">
                        <c:v>8.9400000000000013</c:v>
                      </c:pt>
                      <c:pt idx="12">
                        <c:v>8.82</c:v>
                      </c:pt>
                      <c:pt idx="13">
                        <c:v>9.3000000000000007</c:v>
                      </c:pt>
                      <c:pt idx="14">
                        <c:v>9.5</c:v>
                      </c:pt>
                      <c:pt idx="15">
                        <c:v>14.540000000000001</c:v>
                      </c:pt>
                      <c:pt idx="16">
                        <c:v>13.66</c:v>
                      </c:pt>
                      <c:pt idx="17">
                        <c:v>12.48</c:v>
                      </c:pt>
                      <c:pt idx="18">
                        <c:v>11.86</c:v>
                      </c:pt>
                      <c:pt idx="19">
                        <c:v>11.520000000000001</c:v>
                      </c:pt>
                      <c:pt idx="20">
                        <c:v>8.08</c:v>
                      </c:pt>
                      <c:pt idx="21">
                        <c:v>8.02</c:v>
                      </c:pt>
                      <c:pt idx="22">
                        <c:v>8.08</c:v>
                      </c:pt>
                      <c:pt idx="23">
                        <c:v>8.4</c:v>
                      </c:pt>
                      <c:pt idx="24">
                        <c:v>8.76</c:v>
                      </c:pt>
                      <c:pt idx="25">
                        <c:v>13.88</c:v>
                      </c:pt>
                      <c:pt idx="26">
                        <c:v>13.919999999999998</c:v>
                      </c:pt>
                      <c:pt idx="27">
                        <c:v>13.979999999999999</c:v>
                      </c:pt>
                      <c:pt idx="28">
                        <c:v>14.080000000000002</c:v>
                      </c:pt>
                      <c:pt idx="29">
                        <c:v>14.2</c:v>
                      </c:pt>
                    </c:numCache>
                  </c:numRef>
                </c:val>
                <c:smooth val="0"/>
                <c:extLst>
                  <c:ext xmlns:c16="http://schemas.microsoft.com/office/drawing/2014/chart" uri="{C3380CC4-5D6E-409C-BE32-E72D297353CC}">
                    <c16:uniqueId val="{00000035-667D-4FD8-8882-891D739684B1}"/>
                  </c:ext>
                </c:extLst>
              </c15:ser>
            </c15:filteredLineSeries>
          </c:ext>
        </c:extLst>
      </c:lineChart>
      <c:catAx>
        <c:axId val="871030120"/>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Univers LT Std 45 Light" panose="020B0703030502020204" pitchFamily="34" charset="0"/>
                <a:ea typeface="+mn-ea"/>
                <a:cs typeface="+mn-cs"/>
              </a:defRPr>
            </a:pPr>
            <a:endParaRPr lang="en-US"/>
          </a:p>
        </c:txPr>
        <c:crossAx val="871036680"/>
        <c:crosses val="autoZero"/>
        <c:auto val="1"/>
        <c:lblAlgn val="ctr"/>
        <c:lblOffset val="100"/>
        <c:noMultiLvlLbl val="0"/>
      </c:catAx>
      <c:valAx>
        <c:axId val="871036680"/>
        <c:scaling>
          <c:orientation val="minMax"/>
          <c:max val="60"/>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Univers LT Std 45 Light" panose="020B0703030502020204" pitchFamily="34" charset="0"/>
                    <a:ea typeface="+mn-ea"/>
                    <a:cs typeface="+mn-cs"/>
                  </a:defRPr>
                </a:pPr>
                <a:r>
                  <a:rPr lang="en-US" sz="1200">
                    <a:solidFill>
                      <a:sysClr val="windowText" lastClr="000000"/>
                    </a:solidFill>
                  </a:rPr>
                  <a:t>NUMBER</a:t>
                </a:r>
                <a:r>
                  <a:rPr lang="en-US" sz="1200" baseline="0">
                    <a:solidFill>
                      <a:sysClr val="windowText" lastClr="000000"/>
                    </a:solidFill>
                  </a:rPr>
                  <a:t> OF STUDENTS</a:t>
                </a:r>
                <a:endParaRPr lang="en-US" sz="1200">
                  <a:solidFill>
                    <a:sysClr val="windowText" lastClr="000000"/>
                  </a:solidFill>
                </a:endParaRPr>
              </a:p>
            </c:rich>
          </c:tx>
          <c:layout>
            <c:manualLayout>
              <c:xMode val="edge"/>
              <c:yMode val="edge"/>
              <c:x val="1.1599852907364944E-2"/>
              <c:y val="0.2013263109616168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Univers LT Std 45 Light" panose="020B0703030502020204" pitchFamily="34" charset="0"/>
                  <a:ea typeface="+mn-ea"/>
                  <a:cs typeface="+mn-cs"/>
                </a:defRPr>
              </a:pPr>
              <a:endParaRPr lang="en-US"/>
            </a:p>
          </c:txPr>
        </c:title>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1" i="0" u="none" strike="noStrike" kern="1200" baseline="0">
                <a:solidFill>
                  <a:schemeClr val="tx1"/>
                </a:solidFill>
                <a:latin typeface="Univers LT Std 45 Light" panose="020B0703030502020204" pitchFamily="34" charset="0"/>
                <a:ea typeface="+mn-ea"/>
                <a:cs typeface="+mn-cs"/>
              </a:defRPr>
            </a:pPr>
            <a:endParaRPr lang="en-US"/>
          </a:p>
        </c:txPr>
        <c:crossAx val="871030120"/>
        <c:crosses val="autoZero"/>
        <c:crossBetween val="between"/>
        <c:majorUnit val="10"/>
        <c:minorUnit val="10"/>
      </c:valAx>
      <c:spPr>
        <a:noFill/>
        <a:ln>
          <a:noFill/>
        </a:ln>
        <a:effectLst/>
      </c:spPr>
    </c:plotArea>
    <c:legend>
      <c:legendPos val="b"/>
      <c:legendEntry>
        <c:idx val="0"/>
        <c:delete val="1"/>
      </c:legendEntry>
      <c:layout>
        <c:manualLayout>
          <c:xMode val="edge"/>
          <c:yMode val="edge"/>
          <c:x val="0.42234960629921259"/>
          <c:y val="0.10353792829361977"/>
          <c:w val="0"/>
          <c:h val="1.787709287501659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Univers LT Std 45 Light" panose="020B07030305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b="1">
          <a:latin typeface="Univers LT Std 45 Light" panose="020B07030305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66004463429474E-2"/>
          <c:y val="6.167556752440069E-2"/>
          <c:w val="0.96031071500641396"/>
          <c:h val="0.85277344739114125"/>
        </c:manualLayout>
      </c:layout>
      <c:barChart>
        <c:barDir val="col"/>
        <c:grouping val="clustered"/>
        <c:varyColors val="0"/>
        <c:ser>
          <c:idx val="0"/>
          <c:order val="0"/>
          <c:tx>
            <c:strRef>
              <c:f>'Data for UG graph'!$A$4</c:f>
              <c:strCache>
                <c:ptCount val="1"/>
                <c:pt idx="0">
                  <c:v>Undergraduate Average Section Size</c:v>
                </c:pt>
              </c:strCache>
            </c:strRef>
          </c:tx>
          <c:invertIfNegative val="0"/>
          <c:dPt>
            <c:idx val="0"/>
            <c:invertIfNegative val="0"/>
            <c:bubble3D val="0"/>
            <c:spPr>
              <a:solidFill>
                <a:srgbClr val="92D050"/>
              </a:solidFill>
            </c:spPr>
            <c:extLst>
              <c:ext xmlns:c16="http://schemas.microsoft.com/office/drawing/2014/chart" uri="{C3380CC4-5D6E-409C-BE32-E72D297353CC}">
                <c16:uniqueId val="{00000001-CBC6-4660-ADA6-1E1DD54C47FB}"/>
              </c:ext>
            </c:extLst>
          </c:dPt>
          <c:dPt>
            <c:idx val="5"/>
            <c:invertIfNegative val="0"/>
            <c:bubble3D val="0"/>
            <c:spPr>
              <a:solidFill>
                <a:schemeClr val="accent4">
                  <a:lumMod val="40000"/>
                  <a:lumOff val="60000"/>
                </a:schemeClr>
              </a:solidFill>
            </c:spPr>
            <c:extLst>
              <c:ext xmlns:c16="http://schemas.microsoft.com/office/drawing/2014/chart" uri="{C3380CC4-5D6E-409C-BE32-E72D297353CC}">
                <c16:uniqueId val="{00000003-CBC6-4660-ADA6-1E1DD54C47FB}"/>
              </c:ext>
            </c:extLst>
          </c:dPt>
          <c:dPt>
            <c:idx val="10"/>
            <c:invertIfNegative val="0"/>
            <c:bubble3D val="0"/>
            <c:spPr>
              <a:solidFill>
                <a:schemeClr val="accent5"/>
              </a:solidFill>
            </c:spPr>
            <c:extLst>
              <c:ext xmlns:c16="http://schemas.microsoft.com/office/drawing/2014/chart" uri="{C3380CC4-5D6E-409C-BE32-E72D297353CC}">
                <c16:uniqueId val="{00000005-CBC6-4660-ADA6-1E1DD54C47FB}"/>
              </c:ext>
            </c:extLst>
          </c:dPt>
          <c:dPt>
            <c:idx val="15"/>
            <c:invertIfNegative val="0"/>
            <c:bubble3D val="0"/>
            <c:spPr>
              <a:solidFill>
                <a:schemeClr val="accent6">
                  <a:lumMod val="75000"/>
                </a:schemeClr>
              </a:solidFill>
            </c:spPr>
            <c:extLst>
              <c:ext xmlns:c16="http://schemas.microsoft.com/office/drawing/2014/chart" uri="{C3380CC4-5D6E-409C-BE32-E72D297353CC}">
                <c16:uniqueId val="{00000007-CBC6-4660-ADA6-1E1DD54C47FB}"/>
              </c:ext>
            </c:extLst>
          </c:dPt>
          <c:dPt>
            <c:idx val="20"/>
            <c:invertIfNegative val="0"/>
            <c:bubble3D val="0"/>
            <c:spPr>
              <a:solidFill>
                <a:schemeClr val="accent4"/>
              </a:solidFill>
            </c:spPr>
            <c:extLst>
              <c:ext xmlns:c16="http://schemas.microsoft.com/office/drawing/2014/chart" uri="{C3380CC4-5D6E-409C-BE32-E72D297353CC}">
                <c16:uniqueId val="{00000009-CBC6-4660-ADA6-1E1DD54C47FB}"/>
              </c:ext>
            </c:extLst>
          </c:dPt>
          <c:dPt>
            <c:idx val="25"/>
            <c:invertIfNegative val="0"/>
            <c:bubble3D val="0"/>
            <c:spPr>
              <a:solidFill>
                <a:schemeClr val="bg1">
                  <a:lumMod val="50000"/>
                </a:schemeClr>
              </a:solidFill>
            </c:spPr>
            <c:extLst>
              <c:ext xmlns:c16="http://schemas.microsoft.com/office/drawing/2014/chart" uri="{C3380CC4-5D6E-409C-BE32-E72D297353CC}">
                <c16:uniqueId val="{0000000B-CBC6-4660-ADA6-1E1DD54C47FB}"/>
              </c:ext>
            </c:extLst>
          </c:dPt>
          <c:dPt>
            <c:idx val="30"/>
            <c:invertIfNegative val="0"/>
            <c:bubble3D val="0"/>
            <c:spPr>
              <a:solidFill>
                <a:srgbClr val="FF0000"/>
              </a:solidFill>
            </c:spPr>
            <c:extLst>
              <c:ext xmlns:c16="http://schemas.microsoft.com/office/drawing/2014/chart" uri="{C3380CC4-5D6E-409C-BE32-E72D297353CC}">
                <c16:uniqueId val="{0000000D-CBC6-4660-ADA6-1E1DD54C47FB}"/>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for UG graph'!$J$3:$CY$3</c:f>
              <c:strCache>
                <c:ptCount val="30"/>
                <c:pt idx="0">
                  <c:v>2020</c:v>
                </c:pt>
                <c:pt idx="1">
                  <c:v>2021</c:v>
                </c:pt>
                <c:pt idx="2">
                  <c:v>2022</c:v>
                </c:pt>
                <c:pt idx="3">
                  <c:v>2023</c:v>
                </c:pt>
                <c:pt idx="4">
                  <c:v>2024</c:v>
                </c:pt>
                <c:pt idx="5">
                  <c:v>2020</c:v>
                </c:pt>
                <c:pt idx="6">
                  <c:v>2021</c:v>
                </c:pt>
                <c:pt idx="7">
                  <c:v>2022</c:v>
                </c:pt>
                <c:pt idx="8">
                  <c:v>2023</c:v>
                </c:pt>
                <c:pt idx="9">
                  <c:v>2024</c:v>
                </c:pt>
                <c:pt idx="10">
                  <c:v>2020</c:v>
                </c:pt>
                <c:pt idx="11">
                  <c:v>2021</c:v>
                </c:pt>
                <c:pt idx="12">
                  <c:v>2022</c:v>
                </c:pt>
                <c:pt idx="13">
                  <c:v>2023</c:v>
                </c:pt>
                <c:pt idx="14">
                  <c:v>2024</c:v>
                </c:pt>
                <c:pt idx="15">
                  <c:v>2020</c:v>
                </c:pt>
                <c:pt idx="16">
                  <c:v>2021</c:v>
                </c:pt>
                <c:pt idx="17">
                  <c:v>2022</c:v>
                </c:pt>
                <c:pt idx="18">
                  <c:v>2023</c:v>
                </c:pt>
                <c:pt idx="19">
                  <c:v>2024</c:v>
                </c:pt>
                <c:pt idx="20">
                  <c:v>2020</c:v>
                </c:pt>
                <c:pt idx="21">
                  <c:v>2021</c:v>
                </c:pt>
                <c:pt idx="22">
                  <c:v>2022</c:v>
                </c:pt>
                <c:pt idx="23">
                  <c:v>2023</c:v>
                </c:pt>
                <c:pt idx="24">
                  <c:v>2024</c:v>
                </c:pt>
                <c:pt idx="25">
                  <c:v>2020</c:v>
                </c:pt>
                <c:pt idx="26">
                  <c:v>2021</c:v>
                </c:pt>
                <c:pt idx="27">
                  <c:v>2022</c:v>
                </c:pt>
                <c:pt idx="28">
                  <c:v>2023</c:v>
                </c:pt>
                <c:pt idx="29">
                  <c:v>2024</c:v>
                </c:pt>
              </c:strCache>
            </c:strRef>
          </c:cat>
          <c:val>
            <c:numRef>
              <c:f>'Data for UG graph'!$J$4:$CY$4</c:f>
              <c:numCache>
                <c:formatCode>??.0</c:formatCode>
                <c:ptCount val="30"/>
                <c:pt idx="0">
                  <c:v>33.799999999999997</c:v>
                </c:pt>
                <c:pt idx="1">
                  <c:v>32.4</c:v>
                </c:pt>
                <c:pt idx="2">
                  <c:v>33.1</c:v>
                </c:pt>
                <c:pt idx="3">
                  <c:v>32.700000000000003</c:v>
                </c:pt>
                <c:pt idx="4">
                  <c:v>34</c:v>
                </c:pt>
                <c:pt idx="5">
                  <c:v>52</c:v>
                </c:pt>
                <c:pt idx="6">
                  <c:v>49.1</c:v>
                </c:pt>
                <c:pt idx="7">
                  <c:v>43.4</c:v>
                </c:pt>
                <c:pt idx="8">
                  <c:v>46.1</c:v>
                </c:pt>
                <c:pt idx="9">
                  <c:v>50.4</c:v>
                </c:pt>
                <c:pt idx="10">
                  <c:v>28</c:v>
                </c:pt>
                <c:pt idx="11">
                  <c:v>29.6</c:v>
                </c:pt>
                <c:pt idx="12">
                  <c:v>30.9</c:v>
                </c:pt>
                <c:pt idx="13">
                  <c:v>34.5</c:v>
                </c:pt>
                <c:pt idx="14">
                  <c:v>32.799999999999997</c:v>
                </c:pt>
                <c:pt idx="15">
                  <c:v>34.9</c:v>
                </c:pt>
                <c:pt idx="16">
                  <c:v>35.200000000000003</c:v>
                </c:pt>
                <c:pt idx="17">
                  <c:v>34</c:v>
                </c:pt>
                <c:pt idx="18">
                  <c:v>35.4</c:v>
                </c:pt>
                <c:pt idx="19">
                  <c:v>32.9</c:v>
                </c:pt>
                <c:pt idx="20">
                  <c:v>35</c:v>
                </c:pt>
                <c:pt idx="21">
                  <c:v>34.9</c:v>
                </c:pt>
                <c:pt idx="22">
                  <c:v>34.6</c:v>
                </c:pt>
                <c:pt idx="23">
                  <c:v>36.6</c:v>
                </c:pt>
                <c:pt idx="24">
                  <c:v>36.299999999999997</c:v>
                </c:pt>
                <c:pt idx="25">
                  <c:v>36.200000000000003</c:v>
                </c:pt>
                <c:pt idx="26">
                  <c:v>36.700000000000003</c:v>
                </c:pt>
                <c:pt idx="27">
                  <c:v>37.6</c:v>
                </c:pt>
                <c:pt idx="28">
                  <c:v>38.299999999999997</c:v>
                </c:pt>
                <c:pt idx="29">
                  <c:v>37.799999999999997</c:v>
                </c:pt>
              </c:numCache>
            </c:numRef>
          </c:val>
          <c:extLst>
            <c:ext xmlns:c16="http://schemas.microsoft.com/office/drawing/2014/chart" uri="{C3380CC4-5D6E-409C-BE32-E72D297353CC}">
              <c16:uniqueId val="{0000000E-CBC6-4660-ADA6-1E1DD54C47FB}"/>
            </c:ext>
          </c:extLst>
        </c:ser>
        <c:dLbls>
          <c:showLegendKey val="0"/>
          <c:showVal val="0"/>
          <c:showCatName val="0"/>
          <c:showSerName val="0"/>
          <c:showPercent val="0"/>
          <c:showBubbleSize val="0"/>
        </c:dLbls>
        <c:gapWidth val="20"/>
        <c:axId val="251781448"/>
        <c:axId val="251781840"/>
      </c:barChart>
      <c:lineChart>
        <c:grouping val="standard"/>
        <c:varyColors val="0"/>
        <c:ser>
          <c:idx val="1"/>
          <c:order val="1"/>
          <c:tx>
            <c:strRef>
              <c:f>'Data for UG graph'!$A$5</c:f>
              <c:strCache>
                <c:ptCount val="1"/>
                <c:pt idx="0">
                  <c:v>Five year Ave</c:v>
                </c:pt>
              </c:strCache>
            </c:strRef>
          </c:tx>
          <c:spPr>
            <a:ln w="28575">
              <a:solidFill>
                <a:schemeClr val="accent6">
                  <a:lumMod val="75000"/>
                </a:schemeClr>
              </a:solidFill>
              <a:prstDash val="solid"/>
            </a:ln>
          </c:spPr>
          <c:marker>
            <c:symbol val="none"/>
          </c:marker>
          <c:cat>
            <c:strRef>
              <c:f>'Data for UG graph'!$J$3:$CY$3</c:f>
              <c:strCache>
                <c:ptCount val="30"/>
                <c:pt idx="0">
                  <c:v>2020</c:v>
                </c:pt>
                <c:pt idx="1">
                  <c:v>2021</c:v>
                </c:pt>
                <c:pt idx="2">
                  <c:v>2022</c:v>
                </c:pt>
                <c:pt idx="3">
                  <c:v>2023</c:v>
                </c:pt>
                <c:pt idx="4">
                  <c:v>2024</c:v>
                </c:pt>
                <c:pt idx="5">
                  <c:v>2020</c:v>
                </c:pt>
                <c:pt idx="6">
                  <c:v>2021</c:v>
                </c:pt>
                <c:pt idx="7">
                  <c:v>2022</c:v>
                </c:pt>
                <c:pt idx="8">
                  <c:v>2023</c:v>
                </c:pt>
                <c:pt idx="9">
                  <c:v>2024</c:v>
                </c:pt>
                <c:pt idx="10">
                  <c:v>2020</c:v>
                </c:pt>
                <c:pt idx="11">
                  <c:v>2021</c:v>
                </c:pt>
                <c:pt idx="12">
                  <c:v>2022</c:v>
                </c:pt>
                <c:pt idx="13">
                  <c:v>2023</c:v>
                </c:pt>
                <c:pt idx="14">
                  <c:v>2024</c:v>
                </c:pt>
                <c:pt idx="15">
                  <c:v>2020</c:v>
                </c:pt>
                <c:pt idx="16">
                  <c:v>2021</c:v>
                </c:pt>
                <c:pt idx="17">
                  <c:v>2022</c:v>
                </c:pt>
                <c:pt idx="18">
                  <c:v>2023</c:v>
                </c:pt>
                <c:pt idx="19">
                  <c:v>2024</c:v>
                </c:pt>
                <c:pt idx="20">
                  <c:v>2020</c:v>
                </c:pt>
                <c:pt idx="21">
                  <c:v>2021</c:v>
                </c:pt>
                <c:pt idx="22">
                  <c:v>2022</c:v>
                </c:pt>
                <c:pt idx="23">
                  <c:v>2023</c:v>
                </c:pt>
                <c:pt idx="24">
                  <c:v>2024</c:v>
                </c:pt>
                <c:pt idx="25">
                  <c:v>2020</c:v>
                </c:pt>
                <c:pt idx="26">
                  <c:v>2021</c:v>
                </c:pt>
                <c:pt idx="27">
                  <c:v>2022</c:v>
                </c:pt>
                <c:pt idx="28">
                  <c:v>2023</c:v>
                </c:pt>
                <c:pt idx="29">
                  <c:v>2024</c:v>
                </c:pt>
              </c:strCache>
            </c:strRef>
          </c:cat>
          <c:val>
            <c:numRef>
              <c:f>'Data for UG graph'!$J$5:$CY$5</c:f>
              <c:numCache>
                <c:formatCode>??.0</c:formatCode>
                <c:ptCount val="30"/>
                <c:pt idx="0">
                  <c:v>37.719999999999992</c:v>
                </c:pt>
                <c:pt idx="1">
                  <c:v>36.200000000000003</c:v>
                </c:pt>
                <c:pt idx="2">
                  <c:v>34.799999999999997</c:v>
                </c:pt>
                <c:pt idx="3">
                  <c:v>33.679999999999993</c:v>
                </c:pt>
                <c:pt idx="4">
                  <c:v>33.200000000000003</c:v>
                </c:pt>
                <c:pt idx="5">
                  <c:v>53.160000000000004</c:v>
                </c:pt>
                <c:pt idx="6">
                  <c:v>52</c:v>
                </c:pt>
                <c:pt idx="7">
                  <c:v>49.56</c:v>
                </c:pt>
                <c:pt idx="8">
                  <c:v>48.260000000000005</c:v>
                </c:pt>
                <c:pt idx="9">
                  <c:v>48.2</c:v>
                </c:pt>
                <c:pt idx="10">
                  <c:v>29.1</c:v>
                </c:pt>
                <c:pt idx="11">
                  <c:v>29.160000000000004</c:v>
                </c:pt>
                <c:pt idx="12">
                  <c:v>29.5</c:v>
                </c:pt>
                <c:pt idx="13">
                  <c:v>30.7</c:v>
                </c:pt>
                <c:pt idx="14">
                  <c:v>31.160000000000004</c:v>
                </c:pt>
                <c:pt idx="15">
                  <c:v>38.019999999999996</c:v>
                </c:pt>
                <c:pt idx="16">
                  <c:v>37.14</c:v>
                </c:pt>
                <c:pt idx="17">
                  <c:v>36.06</c:v>
                </c:pt>
                <c:pt idx="18">
                  <c:v>35.28</c:v>
                </c:pt>
                <c:pt idx="19">
                  <c:v>34.480000000000004</c:v>
                </c:pt>
                <c:pt idx="20">
                  <c:v>38.78</c:v>
                </c:pt>
                <c:pt idx="21">
                  <c:v>37.040000000000006</c:v>
                </c:pt>
                <c:pt idx="22">
                  <c:v>35.72</c:v>
                </c:pt>
                <c:pt idx="23">
                  <c:v>35.4</c:v>
                </c:pt>
                <c:pt idx="24">
                  <c:v>35.479999999999997</c:v>
                </c:pt>
                <c:pt idx="25">
                  <c:v>37.92</c:v>
                </c:pt>
                <c:pt idx="26">
                  <c:v>37.479999999999997</c:v>
                </c:pt>
                <c:pt idx="27">
                  <c:v>37.28</c:v>
                </c:pt>
                <c:pt idx="28">
                  <c:v>37.239999999999995</c:v>
                </c:pt>
                <c:pt idx="29">
                  <c:v>37.320000000000007</c:v>
                </c:pt>
              </c:numCache>
            </c:numRef>
          </c:val>
          <c:smooth val="0"/>
          <c:extLst>
            <c:ext xmlns:c16="http://schemas.microsoft.com/office/drawing/2014/chart" uri="{C3380CC4-5D6E-409C-BE32-E72D297353CC}">
              <c16:uniqueId val="{0000000E-EADC-495C-806C-B0735B8E67F5}"/>
            </c:ext>
          </c:extLst>
        </c:ser>
        <c:dLbls>
          <c:showLegendKey val="0"/>
          <c:showVal val="0"/>
          <c:showCatName val="0"/>
          <c:showSerName val="0"/>
          <c:showPercent val="0"/>
          <c:showBubbleSize val="0"/>
        </c:dLbls>
        <c:marker val="1"/>
        <c:smooth val="0"/>
        <c:axId val="251781448"/>
        <c:axId val="251781840"/>
      </c:lineChart>
      <c:catAx>
        <c:axId val="251781448"/>
        <c:scaling>
          <c:orientation val="minMax"/>
        </c:scaling>
        <c:delete val="0"/>
        <c:axPos val="b"/>
        <c:numFmt formatCode="General" sourceLinked="1"/>
        <c:majorTickMark val="none"/>
        <c:minorTickMark val="none"/>
        <c:tickLblPos val="nextTo"/>
        <c:spPr>
          <a:ln>
            <a:solidFill>
              <a:schemeClr val="tx1"/>
            </a:solidFill>
          </a:ln>
        </c:spPr>
        <c:txPr>
          <a:bodyPr/>
          <a:lstStyle/>
          <a:p>
            <a:pPr>
              <a:defRPr sz="800" b="1">
                <a:latin typeface="Univers 45 Light" pitchFamily="34" charset="0"/>
              </a:defRPr>
            </a:pPr>
            <a:endParaRPr lang="en-US"/>
          </a:p>
        </c:txPr>
        <c:crossAx val="251781840"/>
        <c:crosses val="autoZero"/>
        <c:auto val="0"/>
        <c:lblAlgn val="ctr"/>
        <c:lblOffset val="100"/>
        <c:noMultiLvlLbl val="0"/>
      </c:catAx>
      <c:valAx>
        <c:axId val="251781840"/>
        <c:scaling>
          <c:orientation val="minMax"/>
        </c:scaling>
        <c:delete val="0"/>
        <c:axPos val="l"/>
        <c:numFmt formatCode="??" sourceLinked="0"/>
        <c:majorTickMark val="out"/>
        <c:minorTickMark val="none"/>
        <c:tickLblPos val="nextTo"/>
        <c:txPr>
          <a:bodyPr/>
          <a:lstStyle/>
          <a:p>
            <a:pPr>
              <a:defRPr sz="800" b="1">
                <a:latin typeface="Univers 45 Light" pitchFamily="34" charset="0"/>
              </a:defRPr>
            </a:pPr>
            <a:endParaRPr lang="en-US"/>
          </a:p>
        </c:txPr>
        <c:crossAx val="251781448"/>
        <c:crosses val="autoZero"/>
        <c:crossBetween val="between"/>
      </c:valAx>
    </c:plotArea>
    <c:plotVisOnly val="1"/>
    <c:dispBlanksAs val="gap"/>
    <c:showDLblsOverMax val="0"/>
  </c:chart>
  <c:printSettings>
    <c:headerFooter/>
    <c:pageMargins b="0.75" l="0.7" r="0.7" t="0.75" header="0.3" footer="0.3"/>
    <c:pageSetup orientation="landscape" horizontalDpi="-3" verticalDpi="-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Univers LT Std 45 Light" panose="020B0703030502020204" pitchFamily="34" charset="0"/>
                <a:ea typeface="+mn-ea"/>
                <a:cs typeface="+mn-cs"/>
              </a:defRPr>
            </a:pPr>
            <a:r>
              <a:rPr lang="en-US" sz="1800"/>
              <a:t>Graduate Average Section Size</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Univers LT Std 45 Light" panose="020B0703030502020204" pitchFamily="34" charset="0"/>
              <a:ea typeface="+mn-ea"/>
              <a:cs typeface="+mn-cs"/>
            </a:defRPr>
          </a:pPr>
          <a:endParaRPr lang="en-US"/>
        </a:p>
      </c:txPr>
    </c:title>
    <c:autoTitleDeleted val="0"/>
    <c:plotArea>
      <c:layout>
        <c:manualLayout>
          <c:layoutTarget val="inner"/>
          <c:xMode val="edge"/>
          <c:yMode val="edge"/>
          <c:x val="6.873311582686191E-2"/>
          <c:y val="0.11228953099603033"/>
          <c:w val="0.91822445271264164"/>
          <c:h val="0.72098104418175701"/>
        </c:manualLayout>
      </c:layout>
      <c:barChart>
        <c:barDir val="col"/>
        <c:grouping val="clustered"/>
        <c:varyColors val="0"/>
        <c:ser>
          <c:idx val="0"/>
          <c:order val="0"/>
          <c:tx>
            <c:strRef>
              <c:f>'Data for Grad Graph'!$A$5</c:f>
              <c:strCache>
                <c:ptCount val="1"/>
                <c:pt idx="0">
                  <c:v>Graduate Average Section Size</c:v>
                </c:pt>
              </c:strCache>
            </c:strRef>
          </c:tx>
          <c:spPr>
            <a:solidFill>
              <a:schemeClr val="accent1"/>
            </a:solidFill>
            <a:ln>
              <a:noFill/>
            </a:ln>
            <a:effectLst/>
          </c:spPr>
          <c:invertIfNegative val="0"/>
          <c:dPt>
            <c:idx val="0"/>
            <c:invertIfNegative val="0"/>
            <c:bubble3D val="0"/>
            <c:spPr>
              <a:solidFill>
                <a:srgbClr val="076D54"/>
              </a:solidFill>
              <a:ln>
                <a:noFill/>
              </a:ln>
              <a:effectLst/>
            </c:spPr>
            <c:extLst>
              <c:ext xmlns:c16="http://schemas.microsoft.com/office/drawing/2014/chart" uri="{C3380CC4-5D6E-409C-BE32-E72D297353CC}">
                <c16:uniqueId val="{0000000A-80B2-4EF5-ADED-F00C1A7D823B}"/>
              </c:ext>
            </c:extLst>
          </c:dPt>
          <c:dPt>
            <c:idx val="1"/>
            <c:invertIfNegative val="0"/>
            <c:bubble3D val="0"/>
            <c:spPr>
              <a:solidFill>
                <a:srgbClr val="076D54"/>
              </a:solidFill>
              <a:ln>
                <a:noFill/>
              </a:ln>
              <a:effectLst/>
            </c:spPr>
            <c:extLst>
              <c:ext xmlns:c16="http://schemas.microsoft.com/office/drawing/2014/chart" uri="{C3380CC4-5D6E-409C-BE32-E72D297353CC}">
                <c16:uniqueId val="{0000000B-80B2-4EF5-ADED-F00C1A7D823B}"/>
              </c:ext>
            </c:extLst>
          </c:dPt>
          <c:dPt>
            <c:idx val="2"/>
            <c:invertIfNegative val="0"/>
            <c:bubble3D val="0"/>
            <c:spPr>
              <a:solidFill>
                <a:srgbClr val="076D54"/>
              </a:solidFill>
              <a:ln>
                <a:noFill/>
              </a:ln>
              <a:effectLst/>
            </c:spPr>
            <c:extLst>
              <c:ext xmlns:c16="http://schemas.microsoft.com/office/drawing/2014/chart" uri="{C3380CC4-5D6E-409C-BE32-E72D297353CC}">
                <c16:uniqueId val="{0000000C-80B2-4EF5-ADED-F00C1A7D823B}"/>
              </c:ext>
            </c:extLst>
          </c:dPt>
          <c:dPt>
            <c:idx val="3"/>
            <c:invertIfNegative val="0"/>
            <c:bubble3D val="0"/>
            <c:spPr>
              <a:solidFill>
                <a:srgbClr val="076D54"/>
              </a:solidFill>
              <a:ln>
                <a:noFill/>
              </a:ln>
              <a:effectLst/>
            </c:spPr>
            <c:extLst>
              <c:ext xmlns:c16="http://schemas.microsoft.com/office/drawing/2014/chart" uri="{C3380CC4-5D6E-409C-BE32-E72D297353CC}">
                <c16:uniqueId val="{0000000D-80B2-4EF5-ADED-F00C1A7D823B}"/>
              </c:ext>
            </c:extLst>
          </c:dPt>
          <c:dPt>
            <c:idx val="4"/>
            <c:invertIfNegative val="0"/>
            <c:bubble3D val="0"/>
            <c:spPr>
              <a:solidFill>
                <a:srgbClr val="076D54"/>
              </a:solidFill>
              <a:ln>
                <a:noFill/>
              </a:ln>
              <a:effectLst/>
            </c:spPr>
            <c:extLst>
              <c:ext xmlns:c16="http://schemas.microsoft.com/office/drawing/2014/chart" uri="{C3380CC4-5D6E-409C-BE32-E72D297353CC}">
                <c16:uniqueId val="{0000000E-80B2-4EF5-ADED-F00C1A7D823B}"/>
              </c:ext>
            </c:extLst>
          </c:dPt>
          <c:dPt>
            <c:idx val="5"/>
            <c:invertIfNegative val="0"/>
            <c:bubble3D val="0"/>
            <c:spPr>
              <a:solidFill>
                <a:srgbClr val="C4B796"/>
              </a:solidFill>
              <a:ln>
                <a:noFill/>
              </a:ln>
              <a:effectLst/>
            </c:spPr>
            <c:extLst>
              <c:ext xmlns:c16="http://schemas.microsoft.com/office/drawing/2014/chart" uri="{C3380CC4-5D6E-409C-BE32-E72D297353CC}">
                <c16:uniqueId val="{00000014-80B2-4EF5-ADED-F00C1A7D823B}"/>
              </c:ext>
            </c:extLst>
          </c:dPt>
          <c:dPt>
            <c:idx val="6"/>
            <c:invertIfNegative val="0"/>
            <c:bubble3D val="0"/>
            <c:spPr>
              <a:solidFill>
                <a:srgbClr val="C4B796"/>
              </a:solidFill>
              <a:ln>
                <a:noFill/>
              </a:ln>
              <a:effectLst/>
            </c:spPr>
            <c:extLst>
              <c:ext xmlns:c16="http://schemas.microsoft.com/office/drawing/2014/chart" uri="{C3380CC4-5D6E-409C-BE32-E72D297353CC}">
                <c16:uniqueId val="{00000015-80B2-4EF5-ADED-F00C1A7D823B}"/>
              </c:ext>
            </c:extLst>
          </c:dPt>
          <c:dPt>
            <c:idx val="7"/>
            <c:invertIfNegative val="0"/>
            <c:bubble3D val="0"/>
            <c:spPr>
              <a:solidFill>
                <a:srgbClr val="C4B796"/>
              </a:solidFill>
              <a:ln>
                <a:noFill/>
              </a:ln>
              <a:effectLst/>
            </c:spPr>
            <c:extLst>
              <c:ext xmlns:c16="http://schemas.microsoft.com/office/drawing/2014/chart" uri="{C3380CC4-5D6E-409C-BE32-E72D297353CC}">
                <c16:uniqueId val="{00000016-80B2-4EF5-ADED-F00C1A7D823B}"/>
              </c:ext>
            </c:extLst>
          </c:dPt>
          <c:dPt>
            <c:idx val="8"/>
            <c:invertIfNegative val="0"/>
            <c:bubble3D val="0"/>
            <c:spPr>
              <a:solidFill>
                <a:srgbClr val="C4B796"/>
              </a:solidFill>
              <a:ln>
                <a:noFill/>
              </a:ln>
              <a:effectLst/>
            </c:spPr>
            <c:extLst>
              <c:ext xmlns:c16="http://schemas.microsoft.com/office/drawing/2014/chart" uri="{C3380CC4-5D6E-409C-BE32-E72D297353CC}">
                <c16:uniqueId val="{00000017-80B2-4EF5-ADED-F00C1A7D823B}"/>
              </c:ext>
            </c:extLst>
          </c:dPt>
          <c:dPt>
            <c:idx val="9"/>
            <c:invertIfNegative val="0"/>
            <c:bubble3D val="0"/>
            <c:spPr>
              <a:solidFill>
                <a:srgbClr val="C4B796"/>
              </a:solidFill>
              <a:ln>
                <a:noFill/>
              </a:ln>
              <a:effectLst/>
            </c:spPr>
            <c:extLst>
              <c:ext xmlns:c16="http://schemas.microsoft.com/office/drawing/2014/chart" uri="{C3380CC4-5D6E-409C-BE32-E72D297353CC}">
                <c16:uniqueId val="{00000018-80B2-4EF5-ADED-F00C1A7D823B}"/>
              </c:ext>
            </c:extLst>
          </c:dPt>
          <c:dPt>
            <c:idx val="10"/>
            <c:invertIfNegative val="0"/>
            <c:bubble3D val="0"/>
            <c:spPr>
              <a:solidFill>
                <a:srgbClr val="8499A5"/>
              </a:solidFill>
              <a:ln>
                <a:noFill/>
              </a:ln>
              <a:effectLst/>
            </c:spPr>
            <c:extLst>
              <c:ext xmlns:c16="http://schemas.microsoft.com/office/drawing/2014/chart" uri="{C3380CC4-5D6E-409C-BE32-E72D297353CC}">
                <c16:uniqueId val="{0000001B-80B2-4EF5-ADED-F00C1A7D823B}"/>
              </c:ext>
            </c:extLst>
          </c:dPt>
          <c:dPt>
            <c:idx val="11"/>
            <c:invertIfNegative val="0"/>
            <c:bubble3D val="0"/>
            <c:spPr>
              <a:solidFill>
                <a:srgbClr val="8499A5"/>
              </a:solidFill>
              <a:ln>
                <a:noFill/>
              </a:ln>
              <a:effectLst/>
            </c:spPr>
            <c:extLst>
              <c:ext xmlns:c16="http://schemas.microsoft.com/office/drawing/2014/chart" uri="{C3380CC4-5D6E-409C-BE32-E72D297353CC}">
                <c16:uniqueId val="{0000001C-80B2-4EF5-ADED-F00C1A7D823B}"/>
              </c:ext>
            </c:extLst>
          </c:dPt>
          <c:dPt>
            <c:idx val="12"/>
            <c:invertIfNegative val="0"/>
            <c:bubble3D val="0"/>
            <c:spPr>
              <a:solidFill>
                <a:srgbClr val="8499A5"/>
              </a:solidFill>
              <a:ln>
                <a:noFill/>
              </a:ln>
              <a:effectLst/>
            </c:spPr>
            <c:extLst>
              <c:ext xmlns:c16="http://schemas.microsoft.com/office/drawing/2014/chart" uri="{C3380CC4-5D6E-409C-BE32-E72D297353CC}">
                <c16:uniqueId val="{0000001E-80B2-4EF5-ADED-F00C1A7D823B}"/>
              </c:ext>
            </c:extLst>
          </c:dPt>
          <c:dPt>
            <c:idx val="13"/>
            <c:invertIfNegative val="0"/>
            <c:bubble3D val="0"/>
            <c:spPr>
              <a:solidFill>
                <a:srgbClr val="8499A5"/>
              </a:solidFill>
              <a:ln>
                <a:noFill/>
              </a:ln>
              <a:effectLst/>
            </c:spPr>
            <c:extLst>
              <c:ext xmlns:c16="http://schemas.microsoft.com/office/drawing/2014/chart" uri="{C3380CC4-5D6E-409C-BE32-E72D297353CC}">
                <c16:uniqueId val="{0000001D-80B2-4EF5-ADED-F00C1A7D823B}"/>
              </c:ext>
            </c:extLst>
          </c:dPt>
          <c:dPt>
            <c:idx val="14"/>
            <c:invertIfNegative val="0"/>
            <c:bubble3D val="0"/>
            <c:spPr>
              <a:solidFill>
                <a:srgbClr val="8499A5"/>
              </a:solidFill>
              <a:ln>
                <a:noFill/>
              </a:ln>
              <a:effectLst/>
            </c:spPr>
            <c:extLst>
              <c:ext xmlns:c16="http://schemas.microsoft.com/office/drawing/2014/chart" uri="{C3380CC4-5D6E-409C-BE32-E72D297353CC}">
                <c16:uniqueId val="{0000001F-80B2-4EF5-ADED-F00C1A7D823B}"/>
              </c:ext>
            </c:extLst>
          </c:dPt>
          <c:dPt>
            <c:idx val="15"/>
            <c:invertIfNegative val="0"/>
            <c:bubble3D val="0"/>
            <c:spPr>
              <a:solidFill>
                <a:srgbClr val="CE1126"/>
              </a:solidFill>
              <a:ln>
                <a:noFill/>
              </a:ln>
              <a:effectLst/>
            </c:spPr>
            <c:extLst>
              <c:ext xmlns:c16="http://schemas.microsoft.com/office/drawing/2014/chart" uri="{C3380CC4-5D6E-409C-BE32-E72D297353CC}">
                <c16:uniqueId val="{00000025-80B2-4EF5-ADED-F00C1A7D823B}"/>
              </c:ext>
            </c:extLst>
          </c:dPt>
          <c:dPt>
            <c:idx val="16"/>
            <c:invertIfNegative val="0"/>
            <c:bubble3D val="0"/>
            <c:spPr>
              <a:solidFill>
                <a:srgbClr val="CE1126"/>
              </a:solidFill>
              <a:ln>
                <a:noFill/>
              </a:ln>
              <a:effectLst/>
            </c:spPr>
            <c:extLst>
              <c:ext xmlns:c16="http://schemas.microsoft.com/office/drawing/2014/chart" uri="{C3380CC4-5D6E-409C-BE32-E72D297353CC}">
                <c16:uniqueId val="{00000026-80B2-4EF5-ADED-F00C1A7D823B}"/>
              </c:ext>
            </c:extLst>
          </c:dPt>
          <c:dPt>
            <c:idx val="17"/>
            <c:invertIfNegative val="0"/>
            <c:bubble3D val="0"/>
            <c:spPr>
              <a:solidFill>
                <a:srgbClr val="CE1126"/>
              </a:solidFill>
              <a:ln>
                <a:noFill/>
              </a:ln>
              <a:effectLst/>
            </c:spPr>
            <c:extLst>
              <c:ext xmlns:c16="http://schemas.microsoft.com/office/drawing/2014/chart" uri="{C3380CC4-5D6E-409C-BE32-E72D297353CC}">
                <c16:uniqueId val="{00000027-80B2-4EF5-ADED-F00C1A7D823B}"/>
              </c:ext>
            </c:extLst>
          </c:dPt>
          <c:dPt>
            <c:idx val="18"/>
            <c:invertIfNegative val="0"/>
            <c:bubble3D val="0"/>
            <c:spPr>
              <a:solidFill>
                <a:srgbClr val="CE1126"/>
              </a:solidFill>
              <a:ln>
                <a:noFill/>
              </a:ln>
              <a:effectLst/>
            </c:spPr>
            <c:extLst>
              <c:ext xmlns:c16="http://schemas.microsoft.com/office/drawing/2014/chart" uri="{C3380CC4-5D6E-409C-BE32-E72D297353CC}">
                <c16:uniqueId val="{00000028-80B2-4EF5-ADED-F00C1A7D823B}"/>
              </c:ext>
            </c:extLst>
          </c:dPt>
          <c:dPt>
            <c:idx val="19"/>
            <c:invertIfNegative val="0"/>
            <c:bubble3D val="0"/>
            <c:spPr>
              <a:solidFill>
                <a:srgbClr val="CE1126"/>
              </a:solidFill>
              <a:ln>
                <a:noFill/>
              </a:ln>
              <a:effectLst/>
            </c:spPr>
            <c:extLst>
              <c:ext xmlns:c16="http://schemas.microsoft.com/office/drawing/2014/chart" uri="{C3380CC4-5D6E-409C-BE32-E72D297353CC}">
                <c16:uniqueId val="{00000029-80B2-4EF5-ADED-F00C1A7D823B}"/>
              </c:ext>
            </c:extLst>
          </c:dPt>
          <c:dPt>
            <c:idx val="20"/>
            <c:invertIfNegative val="0"/>
            <c:bubble3D val="0"/>
            <c:spPr>
              <a:solidFill>
                <a:srgbClr val="3A75C4"/>
              </a:solidFill>
              <a:ln>
                <a:noFill/>
              </a:ln>
              <a:effectLst/>
            </c:spPr>
            <c:extLst>
              <c:ext xmlns:c16="http://schemas.microsoft.com/office/drawing/2014/chart" uri="{C3380CC4-5D6E-409C-BE32-E72D297353CC}">
                <c16:uniqueId val="{0000002F-80B2-4EF5-ADED-F00C1A7D823B}"/>
              </c:ext>
            </c:extLst>
          </c:dPt>
          <c:dPt>
            <c:idx val="25"/>
            <c:invertIfNegative val="0"/>
            <c:bubble3D val="0"/>
            <c:spPr>
              <a:solidFill>
                <a:srgbClr val="F2BF49"/>
              </a:solidFill>
              <a:ln>
                <a:noFill/>
              </a:ln>
              <a:effectLst/>
            </c:spPr>
            <c:extLst>
              <c:ext xmlns:c16="http://schemas.microsoft.com/office/drawing/2014/chart" uri="{C3380CC4-5D6E-409C-BE32-E72D297353CC}">
                <c16:uniqueId val="{00000033-80B2-4EF5-ADED-F00C1A7D823B}"/>
              </c:ext>
            </c:extLst>
          </c:dPt>
          <c:dPt>
            <c:idx val="26"/>
            <c:invertIfNegative val="0"/>
            <c:bubble3D val="0"/>
            <c:spPr>
              <a:solidFill>
                <a:srgbClr val="F2BF49"/>
              </a:solidFill>
              <a:ln>
                <a:noFill/>
              </a:ln>
              <a:effectLst/>
            </c:spPr>
            <c:extLst>
              <c:ext xmlns:c16="http://schemas.microsoft.com/office/drawing/2014/chart" uri="{C3380CC4-5D6E-409C-BE32-E72D297353CC}">
                <c16:uniqueId val="{00000034-80B2-4EF5-ADED-F00C1A7D823B}"/>
              </c:ext>
            </c:extLst>
          </c:dPt>
          <c:dPt>
            <c:idx val="27"/>
            <c:invertIfNegative val="0"/>
            <c:bubble3D val="0"/>
            <c:spPr>
              <a:solidFill>
                <a:srgbClr val="F2BF49"/>
              </a:solidFill>
              <a:ln>
                <a:noFill/>
              </a:ln>
              <a:effectLst/>
            </c:spPr>
            <c:extLst>
              <c:ext xmlns:c16="http://schemas.microsoft.com/office/drawing/2014/chart" uri="{C3380CC4-5D6E-409C-BE32-E72D297353CC}">
                <c16:uniqueId val="{00000035-80B2-4EF5-ADED-F00C1A7D823B}"/>
              </c:ext>
            </c:extLst>
          </c:dPt>
          <c:dPt>
            <c:idx val="28"/>
            <c:invertIfNegative val="0"/>
            <c:bubble3D val="0"/>
            <c:spPr>
              <a:solidFill>
                <a:srgbClr val="F2BF49"/>
              </a:solidFill>
              <a:ln>
                <a:noFill/>
              </a:ln>
              <a:effectLst/>
            </c:spPr>
            <c:extLst>
              <c:ext xmlns:c16="http://schemas.microsoft.com/office/drawing/2014/chart" uri="{C3380CC4-5D6E-409C-BE32-E72D297353CC}">
                <c16:uniqueId val="{00000036-80B2-4EF5-ADED-F00C1A7D823B}"/>
              </c:ext>
            </c:extLst>
          </c:dPt>
          <c:dPt>
            <c:idx val="29"/>
            <c:invertIfNegative val="0"/>
            <c:bubble3D val="0"/>
            <c:spPr>
              <a:solidFill>
                <a:srgbClr val="F2BF49"/>
              </a:solidFill>
              <a:ln>
                <a:noFill/>
              </a:ln>
              <a:effectLst/>
            </c:spPr>
            <c:extLst>
              <c:ext xmlns:c16="http://schemas.microsoft.com/office/drawing/2014/chart" uri="{C3380CC4-5D6E-409C-BE32-E72D297353CC}">
                <c16:uniqueId val="{00000037-80B2-4EF5-ADED-F00C1A7D823B}"/>
              </c:ext>
            </c:extLst>
          </c:dPt>
          <c:cat>
            <c:multiLvlStrRef>
              <c:f>'Data for Grad Graph'!$B$3:$CS$4</c:f>
              <c:multiLvlStrCache>
                <c:ptCount val="30"/>
                <c:lvl>
                  <c:pt idx="0">
                    <c:v>2020</c:v>
                  </c:pt>
                  <c:pt idx="1">
                    <c:v>2021</c:v>
                  </c:pt>
                  <c:pt idx="2">
                    <c:v>2022</c:v>
                  </c:pt>
                  <c:pt idx="3">
                    <c:v>2023</c:v>
                  </c:pt>
                  <c:pt idx="4">
                    <c:v>2024</c:v>
                  </c:pt>
                  <c:pt idx="5">
                    <c:v>2020</c:v>
                  </c:pt>
                  <c:pt idx="6">
                    <c:v>2021</c:v>
                  </c:pt>
                  <c:pt idx="7">
                    <c:v>2022</c:v>
                  </c:pt>
                  <c:pt idx="8">
                    <c:v>2023</c:v>
                  </c:pt>
                  <c:pt idx="9">
                    <c:v>2024</c:v>
                  </c:pt>
                  <c:pt idx="10">
                    <c:v>2020</c:v>
                  </c:pt>
                  <c:pt idx="11">
                    <c:v>2021</c:v>
                  </c:pt>
                  <c:pt idx="12">
                    <c:v>2022</c:v>
                  </c:pt>
                  <c:pt idx="13">
                    <c:v>2023</c:v>
                  </c:pt>
                  <c:pt idx="14">
                    <c:v>2024</c:v>
                  </c:pt>
                  <c:pt idx="15">
                    <c:v>2020</c:v>
                  </c:pt>
                  <c:pt idx="16">
                    <c:v>2021</c:v>
                  </c:pt>
                  <c:pt idx="17">
                    <c:v>2022</c:v>
                  </c:pt>
                  <c:pt idx="18">
                    <c:v>2023</c:v>
                  </c:pt>
                  <c:pt idx="19">
                    <c:v>2024</c:v>
                  </c:pt>
                  <c:pt idx="20">
                    <c:v>2020</c:v>
                  </c:pt>
                  <c:pt idx="21">
                    <c:v>2021</c:v>
                  </c:pt>
                  <c:pt idx="22">
                    <c:v>2022</c:v>
                  </c:pt>
                  <c:pt idx="23">
                    <c:v>2023</c:v>
                  </c:pt>
                  <c:pt idx="24">
                    <c:v>2024</c:v>
                  </c:pt>
                  <c:pt idx="25">
                    <c:v>2020</c:v>
                  </c:pt>
                  <c:pt idx="26">
                    <c:v>2021</c:v>
                  </c:pt>
                  <c:pt idx="27">
                    <c:v>2022</c:v>
                  </c:pt>
                  <c:pt idx="28">
                    <c:v>2023</c:v>
                  </c:pt>
                  <c:pt idx="29">
                    <c:v>2024</c:v>
                  </c:pt>
                </c:lvl>
                <c:lvl>
                  <c:pt idx="0">
                    <c:v>Ag &amp; Life Sci</c:v>
                  </c:pt>
                  <c:pt idx="5">
                    <c:v> Business</c:v>
                  </c:pt>
                  <c:pt idx="10">
                    <c:v> Design</c:v>
                  </c:pt>
                  <c:pt idx="15">
                    <c:v> Engineering</c:v>
                  </c:pt>
                  <c:pt idx="20">
                    <c:v> Human Sci</c:v>
                  </c:pt>
                  <c:pt idx="25">
                    <c:v>LAS</c:v>
                  </c:pt>
                </c:lvl>
              </c:multiLvlStrCache>
            </c:multiLvlStrRef>
          </c:cat>
          <c:val>
            <c:numRef>
              <c:f>'Data for Grad Graph'!$B$5:$CS$5</c:f>
              <c:numCache>
                <c:formatCode>??.0</c:formatCode>
                <c:ptCount val="30"/>
                <c:pt idx="0">
                  <c:v>7.1</c:v>
                </c:pt>
                <c:pt idx="1">
                  <c:v>7.5</c:v>
                </c:pt>
                <c:pt idx="2">
                  <c:v>7.9</c:v>
                </c:pt>
                <c:pt idx="3">
                  <c:v>8.3000000000000007</c:v>
                </c:pt>
                <c:pt idx="4">
                  <c:v>8.9</c:v>
                </c:pt>
                <c:pt idx="5">
                  <c:v>21.1</c:v>
                </c:pt>
                <c:pt idx="6">
                  <c:v>17.8</c:v>
                </c:pt>
                <c:pt idx="7">
                  <c:v>18.2</c:v>
                </c:pt>
                <c:pt idx="8">
                  <c:v>17</c:v>
                </c:pt>
                <c:pt idx="9">
                  <c:v>18.7</c:v>
                </c:pt>
                <c:pt idx="10">
                  <c:v>7.7</c:v>
                </c:pt>
                <c:pt idx="11">
                  <c:v>9.1999999999999993</c:v>
                </c:pt>
                <c:pt idx="12">
                  <c:v>9.1</c:v>
                </c:pt>
                <c:pt idx="13">
                  <c:v>11.5</c:v>
                </c:pt>
                <c:pt idx="14">
                  <c:v>10</c:v>
                </c:pt>
                <c:pt idx="15">
                  <c:v>10.6</c:v>
                </c:pt>
                <c:pt idx="16">
                  <c:v>11.5</c:v>
                </c:pt>
                <c:pt idx="17">
                  <c:v>11.3</c:v>
                </c:pt>
                <c:pt idx="18">
                  <c:v>12.5</c:v>
                </c:pt>
                <c:pt idx="19">
                  <c:v>11.7</c:v>
                </c:pt>
                <c:pt idx="20">
                  <c:v>7.9</c:v>
                </c:pt>
                <c:pt idx="21">
                  <c:v>8.1999999999999993</c:v>
                </c:pt>
                <c:pt idx="22">
                  <c:v>8.1</c:v>
                </c:pt>
                <c:pt idx="23">
                  <c:v>9.9</c:v>
                </c:pt>
                <c:pt idx="24">
                  <c:v>9.6999999999999993</c:v>
                </c:pt>
                <c:pt idx="25">
                  <c:v>12.4</c:v>
                </c:pt>
                <c:pt idx="26">
                  <c:v>14</c:v>
                </c:pt>
                <c:pt idx="27">
                  <c:v>15.1</c:v>
                </c:pt>
                <c:pt idx="28">
                  <c:v>14.6</c:v>
                </c:pt>
                <c:pt idx="29">
                  <c:v>14.9</c:v>
                </c:pt>
              </c:numCache>
            </c:numRef>
          </c:val>
          <c:extLst>
            <c:ext xmlns:c16="http://schemas.microsoft.com/office/drawing/2014/chart" uri="{C3380CC4-5D6E-409C-BE32-E72D297353CC}">
              <c16:uniqueId val="{00000000-80B2-4EF5-ADED-F00C1A7D823B}"/>
            </c:ext>
          </c:extLst>
        </c:ser>
        <c:dLbls>
          <c:showLegendKey val="0"/>
          <c:showVal val="0"/>
          <c:showCatName val="0"/>
          <c:showSerName val="0"/>
          <c:showPercent val="0"/>
          <c:showBubbleSize val="0"/>
        </c:dLbls>
        <c:gapWidth val="23"/>
        <c:overlap val="-27"/>
        <c:axId val="871030120"/>
        <c:axId val="871036680"/>
      </c:barChart>
      <c:lineChart>
        <c:grouping val="standard"/>
        <c:varyColors val="0"/>
        <c:dLbls>
          <c:showLegendKey val="0"/>
          <c:showVal val="0"/>
          <c:showCatName val="0"/>
          <c:showSerName val="0"/>
          <c:showPercent val="0"/>
          <c:showBubbleSize val="0"/>
        </c:dLbls>
        <c:marker val="1"/>
        <c:smooth val="0"/>
        <c:axId val="871030120"/>
        <c:axId val="871036680"/>
        <c:extLst>
          <c:ext xmlns:c15="http://schemas.microsoft.com/office/drawing/2012/chart" uri="{02D57815-91ED-43cb-92C2-25804820EDAC}">
            <c15:filteredLineSeries>
              <c15:ser>
                <c:idx val="1"/>
                <c:order val="1"/>
                <c:tx>
                  <c:strRef>
                    <c:extLst>
                      <c:ext uri="{02D57815-91ED-43cb-92C2-25804820EDAC}">
                        <c15:formulaRef>
                          <c15:sqref>'Data for Grad Graph'!$A$6</c15:sqref>
                        </c15:formulaRef>
                      </c:ext>
                    </c:extLst>
                    <c:strCache>
                      <c:ptCount val="1"/>
                      <c:pt idx="0">
                        <c:v>Five-year Rolling Average</c:v>
                      </c:pt>
                    </c:strCache>
                  </c:strRef>
                </c:tx>
                <c:spPr>
                  <a:ln w="28575" cap="rnd">
                    <a:solidFill>
                      <a:schemeClr val="accent2"/>
                    </a:solidFill>
                    <a:round/>
                  </a:ln>
                  <a:effectLst/>
                </c:spPr>
                <c:marker>
                  <c:symbol val="none"/>
                </c:marker>
                <c:cat>
                  <c:multiLvlStrRef>
                    <c:extLst>
                      <c:ext uri="{02D57815-91ED-43cb-92C2-25804820EDAC}">
                        <c15:formulaRef>
                          <c15:sqref>'Data for Grad Graph'!$B$3:$CS$4</c15:sqref>
                        </c15:formulaRef>
                      </c:ext>
                    </c:extLst>
                    <c:multiLvlStrCache>
                      <c:ptCount val="30"/>
                      <c:lvl>
                        <c:pt idx="0">
                          <c:v>2020</c:v>
                        </c:pt>
                        <c:pt idx="1">
                          <c:v>2021</c:v>
                        </c:pt>
                        <c:pt idx="2">
                          <c:v>2022</c:v>
                        </c:pt>
                        <c:pt idx="3">
                          <c:v>2023</c:v>
                        </c:pt>
                        <c:pt idx="4">
                          <c:v>2024</c:v>
                        </c:pt>
                        <c:pt idx="5">
                          <c:v>2020</c:v>
                        </c:pt>
                        <c:pt idx="6">
                          <c:v>2021</c:v>
                        </c:pt>
                        <c:pt idx="7">
                          <c:v>2022</c:v>
                        </c:pt>
                        <c:pt idx="8">
                          <c:v>2023</c:v>
                        </c:pt>
                        <c:pt idx="9">
                          <c:v>2024</c:v>
                        </c:pt>
                        <c:pt idx="10">
                          <c:v>2020</c:v>
                        </c:pt>
                        <c:pt idx="11">
                          <c:v>2021</c:v>
                        </c:pt>
                        <c:pt idx="12">
                          <c:v>2022</c:v>
                        </c:pt>
                        <c:pt idx="13">
                          <c:v>2023</c:v>
                        </c:pt>
                        <c:pt idx="14">
                          <c:v>2024</c:v>
                        </c:pt>
                        <c:pt idx="15">
                          <c:v>2020</c:v>
                        </c:pt>
                        <c:pt idx="16">
                          <c:v>2021</c:v>
                        </c:pt>
                        <c:pt idx="17">
                          <c:v>2022</c:v>
                        </c:pt>
                        <c:pt idx="18">
                          <c:v>2023</c:v>
                        </c:pt>
                        <c:pt idx="19">
                          <c:v>2024</c:v>
                        </c:pt>
                        <c:pt idx="20">
                          <c:v>2020</c:v>
                        </c:pt>
                        <c:pt idx="21">
                          <c:v>2021</c:v>
                        </c:pt>
                        <c:pt idx="22">
                          <c:v>2022</c:v>
                        </c:pt>
                        <c:pt idx="23">
                          <c:v>2023</c:v>
                        </c:pt>
                        <c:pt idx="24">
                          <c:v>2024</c:v>
                        </c:pt>
                        <c:pt idx="25">
                          <c:v>2020</c:v>
                        </c:pt>
                        <c:pt idx="26">
                          <c:v>2021</c:v>
                        </c:pt>
                        <c:pt idx="27">
                          <c:v>2022</c:v>
                        </c:pt>
                        <c:pt idx="28">
                          <c:v>2023</c:v>
                        </c:pt>
                        <c:pt idx="29">
                          <c:v>2024</c:v>
                        </c:pt>
                      </c:lvl>
                      <c:lvl>
                        <c:pt idx="0">
                          <c:v>Ag &amp; Life Sci</c:v>
                        </c:pt>
                        <c:pt idx="5">
                          <c:v> Business</c:v>
                        </c:pt>
                        <c:pt idx="10">
                          <c:v> Design</c:v>
                        </c:pt>
                        <c:pt idx="15">
                          <c:v> Engineering</c:v>
                        </c:pt>
                        <c:pt idx="20">
                          <c:v> Human Sci</c:v>
                        </c:pt>
                        <c:pt idx="25">
                          <c:v>LAS</c:v>
                        </c:pt>
                      </c:lvl>
                    </c:multiLvlStrCache>
                  </c:multiLvlStrRef>
                </c:cat>
                <c:val>
                  <c:numRef>
                    <c:extLst>
                      <c:ext uri="{02D57815-91ED-43cb-92C2-25804820EDAC}">
                        <c15:formulaRef>
                          <c15:sqref>'Data for Grad Graph'!$B$6:$CS$6</c15:sqref>
                        </c15:formulaRef>
                      </c:ext>
                    </c:extLst>
                    <c:numCache>
                      <c:formatCode>??.0</c:formatCode>
                      <c:ptCount val="30"/>
                      <c:pt idx="0">
                        <c:v>8.92</c:v>
                      </c:pt>
                      <c:pt idx="1">
                        <c:v>8.3000000000000007</c:v>
                      </c:pt>
                      <c:pt idx="2">
                        <c:v>8.0399999999999991</c:v>
                      </c:pt>
                      <c:pt idx="3">
                        <c:v>7.8800000000000008</c:v>
                      </c:pt>
                      <c:pt idx="4">
                        <c:v>7.94</c:v>
                      </c:pt>
                      <c:pt idx="5">
                        <c:v>18.72</c:v>
                      </c:pt>
                      <c:pt idx="6">
                        <c:v>18.34</c:v>
                      </c:pt>
                      <c:pt idx="7">
                        <c:v>18.000000000000004</c:v>
                      </c:pt>
                      <c:pt idx="8">
                        <c:v>17.880000000000003</c:v>
                      </c:pt>
                      <c:pt idx="9">
                        <c:v>18.560000000000002</c:v>
                      </c:pt>
                      <c:pt idx="10">
                        <c:v>8.8000000000000007</c:v>
                      </c:pt>
                      <c:pt idx="11">
                        <c:v>8.9400000000000013</c:v>
                      </c:pt>
                      <c:pt idx="12">
                        <c:v>8.82</c:v>
                      </c:pt>
                      <c:pt idx="13">
                        <c:v>9.3000000000000007</c:v>
                      </c:pt>
                      <c:pt idx="14">
                        <c:v>9.5</c:v>
                      </c:pt>
                      <c:pt idx="15">
                        <c:v>14.540000000000001</c:v>
                      </c:pt>
                      <c:pt idx="16">
                        <c:v>13.66</c:v>
                      </c:pt>
                      <c:pt idx="17">
                        <c:v>12.48</c:v>
                      </c:pt>
                      <c:pt idx="18">
                        <c:v>11.86</c:v>
                      </c:pt>
                      <c:pt idx="19">
                        <c:v>11.520000000000001</c:v>
                      </c:pt>
                      <c:pt idx="20">
                        <c:v>8.08</c:v>
                      </c:pt>
                      <c:pt idx="21">
                        <c:v>8.02</c:v>
                      </c:pt>
                      <c:pt idx="22">
                        <c:v>8.08</c:v>
                      </c:pt>
                      <c:pt idx="23">
                        <c:v>8.4</c:v>
                      </c:pt>
                      <c:pt idx="24">
                        <c:v>8.76</c:v>
                      </c:pt>
                      <c:pt idx="25">
                        <c:v>13.88</c:v>
                      </c:pt>
                      <c:pt idx="26">
                        <c:v>13.919999999999998</c:v>
                      </c:pt>
                      <c:pt idx="27">
                        <c:v>13.979999999999999</c:v>
                      </c:pt>
                      <c:pt idx="28">
                        <c:v>14.080000000000002</c:v>
                      </c:pt>
                      <c:pt idx="29">
                        <c:v>14.2</c:v>
                      </c:pt>
                    </c:numCache>
                  </c:numRef>
                </c:val>
                <c:smooth val="0"/>
                <c:extLst>
                  <c:ext xmlns:c16="http://schemas.microsoft.com/office/drawing/2014/chart" uri="{C3380CC4-5D6E-409C-BE32-E72D297353CC}">
                    <c16:uniqueId val="{00000001-80B2-4EF5-ADED-F00C1A7D823B}"/>
                  </c:ext>
                </c:extLst>
              </c15:ser>
            </c15:filteredLineSeries>
          </c:ext>
        </c:extLst>
      </c:lineChart>
      <c:catAx>
        <c:axId val="871030120"/>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nivers LT Std 45 Light" panose="020B0703030502020204" pitchFamily="34" charset="0"/>
                <a:ea typeface="+mn-ea"/>
                <a:cs typeface="+mn-cs"/>
              </a:defRPr>
            </a:pPr>
            <a:endParaRPr lang="en-US"/>
          </a:p>
        </c:txPr>
        <c:crossAx val="871036680"/>
        <c:crosses val="autoZero"/>
        <c:auto val="1"/>
        <c:lblAlgn val="ctr"/>
        <c:lblOffset val="100"/>
        <c:noMultiLvlLbl val="0"/>
      </c:catAx>
      <c:valAx>
        <c:axId val="871036680"/>
        <c:scaling>
          <c:orientation val="minMax"/>
          <c:max val="2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Univers LT Std 45 Light" panose="020B0703030502020204" pitchFamily="34" charset="0"/>
                    <a:ea typeface="+mn-ea"/>
                    <a:cs typeface="+mn-cs"/>
                  </a:defRPr>
                </a:pPr>
                <a:r>
                  <a:rPr lang="en-US" sz="1200">
                    <a:solidFill>
                      <a:sysClr val="windowText" lastClr="000000"/>
                    </a:solidFill>
                  </a:rPr>
                  <a:t>NUMBER</a:t>
                </a:r>
                <a:r>
                  <a:rPr lang="en-US" sz="1200" baseline="0">
                    <a:solidFill>
                      <a:sysClr val="windowText" lastClr="000000"/>
                    </a:solidFill>
                  </a:rPr>
                  <a:t> OF STUDENTS</a:t>
                </a:r>
                <a:endParaRPr lang="en-US" sz="1200">
                  <a:solidFill>
                    <a:sysClr val="windowText" lastClr="000000"/>
                  </a:solidFill>
                </a:endParaRPr>
              </a:p>
            </c:rich>
          </c:tx>
          <c:layout>
            <c:manualLayout>
              <c:xMode val="edge"/>
              <c:yMode val="edge"/>
              <c:x val="0"/>
              <c:y val="0.2828965488764880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Univers LT Std 45 Light" panose="020B0703030502020204" pitchFamily="34" charset="0"/>
                  <a:ea typeface="+mn-ea"/>
                  <a:cs typeface="+mn-cs"/>
                </a:defRPr>
              </a:pPr>
              <a:endParaRPr lang="en-US"/>
            </a:p>
          </c:txPr>
        </c:title>
        <c:numFmt formatCode="??"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Univers LT Std 45 Light" panose="020B0703030502020204" pitchFamily="34" charset="0"/>
                <a:ea typeface="+mn-ea"/>
                <a:cs typeface="+mn-cs"/>
              </a:defRPr>
            </a:pPr>
            <a:endParaRPr lang="en-US"/>
          </a:p>
        </c:txPr>
        <c:crossAx val="871030120"/>
        <c:crosses val="autoZero"/>
        <c:crossBetween val="between"/>
        <c:majorUnit val="5"/>
        <c:minorUnit val="1"/>
      </c:valAx>
      <c:spPr>
        <a:noFill/>
        <a:ln>
          <a:noFill/>
        </a:ln>
        <a:effectLst/>
      </c:spPr>
    </c:plotArea>
    <c:legend>
      <c:legendPos val="b"/>
      <c:legendEntry>
        <c:idx val="0"/>
        <c:delete val="1"/>
      </c:legendEntry>
      <c:layout>
        <c:manualLayout>
          <c:xMode val="edge"/>
          <c:yMode val="edge"/>
          <c:x val="0.42234960629921259"/>
          <c:y val="0.10353792829361977"/>
          <c:w val="0"/>
          <c:h val="1.787709287501659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Univers LT Std 45 Light" panose="020B07030305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b="1">
          <a:latin typeface="Univers LT Std 45 Light" panose="020B0703030502020204"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Keep1!$D$31</c:f>
              <c:strCache>
                <c:ptCount val="1"/>
                <c:pt idx="0">
                  <c:v>Ugrad</c:v>
                </c:pt>
              </c:strCache>
            </c:strRef>
          </c:tx>
          <c:invertIfNegative val="0"/>
          <c:cat>
            <c:multiLvlStrRef>
              <c:f>Keep1!$E$29:$AQ$30</c:f>
              <c:multiLvlStrCache>
                <c:ptCount val="39"/>
                <c:lvl>
                  <c:pt idx="0">
                    <c:v>CALS</c:v>
                  </c:pt>
                  <c:pt idx="1">
                    <c:v>BUS</c:v>
                  </c:pt>
                  <c:pt idx="2">
                    <c:v>DSN</c:v>
                  </c:pt>
                  <c:pt idx="3">
                    <c:v>ENGR</c:v>
                  </c:pt>
                  <c:pt idx="4">
                    <c:v>HS</c:v>
                  </c:pt>
                  <c:pt idx="5">
                    <c:v>LAS</c:v>
                  </c:pt>
                  <c:pt idx="6">
                    <c:v>ISU</c:v>
                  </c:pt>
                  <c:pt idx="8">
                    <c:v>CALS</c:v>
                  </c:pt>
                  <c:pt idx="9">
                    <c:v>BUS</c:v>
                  </c:pt>
                  <c:pt idx="10">
                    <c:v>DSN</c:v>
                  </c:pt>
                  <c:pt idx="11">
                    <c:v>ENGR</c:v>
                  </c:pt>
                  <c:pt idx="12">
                    <c:v>HS</c:v>
                  </c:pt>
                  <c:pt idx="13">
                    <c:v>LAS</c:v>
                  </c:pt>
                  <c:pt idx="14">
                    <c:v>ISU</c:v>
                  </c:pt>
                  <c:pt idx="16">
                    <c:v>CALS</c:v>
                  </c:pt>
                  <c:pt idx="17">
                    <c:v>BUS</c:v>
                  </c:pt>
                  <c:pt idx="18">
                    <c:v>DSN</c:v>
                  </c:pt>
                  <c:pt idx="19">
                    <c:v>ENGR</c:v>
                  </c:pt>
                  <c:pt idx="20">
                    <c:v>HS</c:v>
                  </c:pt>
                  <c:pt idx="21">
                    <c:v>LAS</c:v>
                  </c:pt>
                  <c:pt idx="22">
                    <c:v>ISU</c:v>
                  </c:pt>
                  <c:pt idx="24">
                    <c:v>CALS</c:v>
                  </c:pt>
                  <c:pt idx="25">
                    <c:v>BUS</c:v>
                  </c:pt>
                  <c:pt idx="26">
                    <c:v>DSN</c:v>
                  </c:pt>
                  <c:pt idx="27">
                    <c:v>ENGR</c:v>
                  </c:pt>
                  <c:pt idx="28">
                    <c:v>HS</c:v>
                  </c:pt>
                  <c:pt idx="29">
                    <c:v>LAS</c:v>
                  </c:pt>
                  <c:pt idx="30">
                    <c:v>ISU</c:v>
                  </c:pt>
                  <c:pt idx="32">
                    <c:v>CALS</c:v>
                  </c:pt>
                  <c:pt idx="33">
                    <c:v>BUS</c:v>
                  </c:pt>
                  <c:pt idx="34">
                    <c:v>DSN</c:v>
                  </c:pt>
                  <c:pt idx="35">
                    <c:v>ENGR</c:v>
                  </c:pt>
                  <c:pt idx="36">
                    <c:v>HS</c:v>
                  </c:pt>
                  <c:pt idx="37">
                    <c:v>LAS</c:v>
                  </c:pt>
                  <c:pt idx="38">
                    <c:v>ISU</c:v>
                  </c:pt>
                </c:lvl>
                <c:lvl>
                  <c:pt idx="0">
                    <c:v>2008</c:v>
                  </c:pt>
                  <c:pt idx="8">
                    <c:v>2009</c:v>
                  </c:pt>
                  <c:pt idx="16">
                    <c:v>2010</c:v>
                  </c:pt>
                  <c:pt idx="24">
                    <c:v>2011</c:v>
                  </c:pt>
                  <c:pt idx="32">
                    <c:v>2012</c:v>
                  </c:pt>
                </c:lvl>
              </c:multiLvlStrCache>
            </c:multiLvlStrRef>
          </c:cat>
          <c:val>
            <c:numRef>
              <c:f>Keep1!$E$31:$AQ$31</c:f>
              <c:numCache>
                <c:formatCode>??.0</c:formatCode>
                <c:ptCount val="39"/>
                <c:pt idx="0">
                  <c:v>31.8</c:v>
                </c:pt>
                <c:pt idx="1">
                  <c:v>68.900000000000006</c:v>
                </c:pt>
                <c:pt idx="2">
                  <c:v>27.4</c:v>
                </c:pt>
                <c:pt idx="3">
                  <c:v>30.8</c:v>
                </c:pt>
                <c:pt idx="4">
                  <c:v>33.799999999999997</c:v>
                </c:pt>
                <c:pt idx="5">
                  <c:v>35.700000000000003</c:v>
                </c:pt>
                <c:pt idx="6">
                  <c:v>35.1</c:v>
                </c:pt>
                <c:pt idx="8">
                  <c:v>32.9</c:v>
                </c:pt>
                <c:pt idx="9">
                  <c:v>63.7</c:v>
                </c:pt>
                <c:pt idx="10">
                  <c:v>31</c:v>
                </c:pt>
                <c:pt idx="11">
                  <c:v>33.299999999999997</c:v>
                </c:pt>
                <c:pt idx="12">
                  <c:v>32.799999999999997</c:v>
                </c:pt>
                <c:pt idx="13">
                  <c:v>36.9</c:v>
                </c:pt>
                <c:pt idx="14">
                  <c:v>36.299999999999997</c:v>
                </c:pt>
                <c:pt idx="16">
                  <c:v>35.6</c:v>
                </c:pt>
                <c:pt idx="17">
                  <c:v>56.2</c:v>
                </c:pt>
                <c:pt idx="18">
                  <c:v>30.7</c:v>
                </c:pt>
                <c:pt idx="19">
                  <c:v>34.9</c:v>
                </c:pt>
                <c:pt idx="20">
                  <c:v>35.299999999999997</c:v>
                </c:pt>
                <c:pt idx="21">
                  <c:v>36</c:v>
                </c:pt>
                <c:pt idx="22">
                  <c:v>36.4</c:v>
                </c:pt>
                <c:pt idx="24">
                  <c:v>35</c:v>
                </c:pt>
                <c:pt idx="25">
                  <c:v>59.1</c:v>
                </c:pt>
                <c:pt idx="26">
                  <c:v>29.5</c:v>
                </c:pt>
                <c:pt idx="27">
                  <c:v>36.299999999999997</c:v>
                </c:pt>
                <c:pt idx="28">
                  <c:v>40.799999999999997</c:v>
                </c:pt>
                <c:pt idx="29">
                  <c:v>36.4</c:v>
                </c:pt>
                <c:pt idx="30">
                  <c:v>37.4</c:v>
                </c:pt>
                <c:pt idx="32">
                  <c:v>36.5</c:v>
                </c:pt>
                <c:pt idx="33">
                  <c:v>57.8</c:v>
                </c:pt>
                <c:pt idx="34">
                  <c:v>28.6</c:v>
                </c:pt>
                <c:pt idx="35">
                  <c:v>37</c:v>
                </c:pt>
                <c:pt idx="36">
                  <c:v>43.1</c:v>
                </c:pt>
                <c:pt idx="37">
                  <c:v>35.700000000000003</c:v>
                </c:pt>
                <c:pt idx="38">
                  <c:v>37.200000000000003</c:v>
                </c:pt>
              </c:numCache>
            </c:numRef>
          </c:val>
          <c:extLst>
            <c:ext xmlns:c16="http://schemas.microsoft.com/office/drawing/2014/chart" uri="{C3380CC4-5D6E-409C-BE32-E72D297353CC}">
              <c16:uniqueId val="{00000000-D1BB-4798-81E6-5345DBF1DF1C}"/>
            </c:ext>
          </c:extLst>
        </c:ser>
        <c:ser>
          <c:idx val="1"/>
          <c:order val="1"/>
          <c:tx>
            <c:strRef>
              <c:f>Keep1!$D$32</c:f>
              <c:strCache>
                <c:ptCount val="1"/>
                <c:pt idx="0">
                  <c:v>Grad</c:v>
                </c:pt>
              </c:strCache>
            </c:strRef>
          </c:tx>
          <c:invertIfNegative val="0"/>
          <c:cat>
            <c:multiLvlStrRef>
              <c:f>Keep1!$E$29:$AQ$30</c:f>
              <c:multiLvlStrCache>
                <c:ptCount val="39"/>
                <c:lvl>
                  <c:pt idx="0">
                    <c:v>CALS</c:v>
                  </c:pt>
                  <c:pt idx="1">
                    <c:v>BUS</c:v>
                  </c:pt>
                  <c:pt idx="2">
                    <c:v>DSN</c:v>
                  </c:pt>
                  <c:pt idx="3">
                    <c:v>ENGR</c:v>
                  </c:pt>
                  <c:pt idx="4">
                    <c:v>HS</c:v>
                  </c:pt>
                  <c:pt idx="5">
                    <c:v>LAS</c:v>
                  </c:pt>
                  <c:pt idx="6">
                    <c:v>ISU</c:v>
                  </c:pt>
                  <c:pt idx="8">
                    <c:v>CALS</c:v>
                  </c:pt>
                  <c:pt idx="9">
                    <c:v>BUS</c:v>
                  </c:pt>
                  <c:pt idx="10">
                    <c:v>DSN</c:v>
                  </c:pt>
                  <c:pt idx="11">
                    <c:v>ENGR</c:v>
                  </c:pt>
                  <c:pt idx="12">
                    <c:v>HS</c:v>
                  </c:pt>
                  <c:pt idx="13">
                    <c:v>LAS</c:v>
                  </c:pt>
                  <c:pt idx="14">
                    <c:v>ISU</c:v>
                  </c:pt>
                  <c:pt idx="16">
                    <c:v>CALS</c:v>
                  </c:pt>
                  <c:pt idx="17">
                    <c:v>BUS</c:v>
                  </c:pt>
                  <c:pt idx="18">
                    <c:v>DSN</c:v>
                  </c:pt>
                  <c:pt idx="19">
                    <c:v>ENGR</c:v>
                  </c:pt>
                  <c:pt idx="20">
                    <c:v>HS</c:v>
                  </c:pt>
                  <c:pt idx="21">
                    <c:v>LAS</c:v>
                  </c:pt>
                  <c:pt idx="22">
                    <c:v>ISU</c:v>
                  </c:pt>
                  <c:pt idx="24">
                    <c:v>CALS</c:v>
                  </c:pt>
                  <c:pt idx="25">
                    <c:v>BUS</c:v>
                  </c:pt>
                  <c:pt idx="26">
                    <c:v>DSN</c:v>
                  </c:pt>
                  <c:pt idx="27">
                    <c:v>ENGR</c:v>
                  </c:pt>
                  <c:pt idx="28">
                    <c:v>HS</c:v>
                  </c:pt>
                  <c:pt idx="29">
                    <c:v>LAS</c:v>
                  </c:pt>
                  <c:pt idx="30">
                    <c:v>ISU</c:v>
                  </c:pt>
                  <c:pt idx="32">
                    <c:v>CALS</c:v>
                  </c:pt>
                  <c:pt idx="33">
                    <c:v>BUS</c:v>
                  </c:pt>
                  <c:pt idx="34">
                    <c:v>DSN</c:v>
                  </c:pt>
                  <c:pt idx="35">
                    <c:v>ENGR</c:v>
                  </c:pt>
                  <c:pt idx="36">
                    <c:v>HS</c:v>
                  </c:pt>
                  <c:pt idx="37">
                    <c:v>LAS</c:v>
                  </c:pt>
                  <c:pt idx="38">
                    <c:v>ISU</c:v>
                  </c:pt>
                </c:lvl>
                <c:lvl>
                  <c:pt idx="0">
                    <c:v>2008</c:v>
                  </c:pt>
                  <c:pt idx="8">
                    <c:v>2009</c:v>
                  </c:pt>
                  <c:pt idx="16">
                    <c:v>2010</c:v>
                  </c:pt>
                  <c:pt idx="24">
                    <c:v>2011</c:v>
                  </c:pt>
                  <c:pt idx="32">
                    <c:v>2012</c:v>
                  </c:pt>
                </c:lvl>
              </c:multiLvlStrCache>
            </c:multiLvlStrRef>
          </c:cat>
          <c:val>
            <c:numRef>
              <c:f>Keep1!$E$32:$AQ$32</c:f>
              <c:numCache>
                <c:formatCode>??.0</c:formatCode>
                <c:ptCount val="39"/>
                <c:pt idx="0">
                  <c:v>8.4</c:v>
                </c:pt>
                <c:pt idx="1">
                  <c:v>23.3</c:v>
                </c:pt>
                <c:pt idx="2">
                  <c:v>8.1</c:v>
                </c:pt>
                <c:pt idx="3">
                  <c:v>11.8</c:v>
                </c:pt>
                <c:pt idx="4">
                  <c:v>9.4</c:v>
                </c:pt>
                <c:pt idx="5">
                  <c:v>12.1</c:v>
                </c:pt>
                <c:pt idx="6">
                  <c:v>11.1</c:v>
                </c:pt>
                <c:pt idx="8">
                  <c:v>9.3000000000000007</c:v>
                </c:pt>
                <c:pt idx="9">
                  <c:v>22.8</c:v>
                </c:pt>
                <c:pt idx="10">
                  <c:v>8.6999999999999993</c:v>
                </c:pt>
                <c:pt idx="11">
                  <c:v>12.9</c:v>
                </c:pt>
                <c:pt idx="12">
                  <c:v>10.3</c:v>
                </c:pt>
                <c:pt idx="13">
                  <c:v>12.8</c:v>
                </c:pt>
                <c:pt idx="14">
                  <c:v>12</c:v>
                </c:pt>
                <c:pt idx="16">
                  <c:v>9.3000000000000007</c:v>
                </c:pt>
                <c:pt idx="17">
                  <c:v>21.7</c:v>
                </c:pt>
                <c:pt idx="18">
                  <c:v>9.1</c:v>
                </c:pt>
                <c:pt idx="19">
                  <c:v>13.2</c:v>
                </c:pt>
                <c:pt idx="20">
                  <c:v>10.3</c:v>
                </c:pt>
                <c:pt idx="21">
                  <c:v>13</c:v>
                </c:pt>
                <c:pt idx="22">
                  <c:v>12</c:v>
                </c:pt>
                <c:pt idx="24">
                  <c:v>9.1999999999999993</c:v>
                </c:pt>
                <c:pt idx="25">
                  <c:v>20.7</c:v>
                </c:pt>
                <c:pt idx="26">
                  <c:v>8.3000000000000007</c:v>
                </c:pt>
                <c:pt idx="27">
                  <c:v>13.2</c:v>
                </c:pt>
                <c:pt idx="28">
                  <c:v>10.1</c:v>
                </c:pt>
                <c:pt idx="29">
                  <c:v>12.7</c:v>
                </c:pt>
                <c:pt idx="30">
                  <c:v>11.7</c:v>
                </c:pt>
                <c:pt idx="32">
                  <c:v>10</c:v>
                </c:pt>
                <c:pt idx="33">
                  <c:v>17.3</c:v>
                </c:pt>
                <c:pt idx="34">
                  <c:v>8.1</c:v>
                </c:pt>
                <c:pt idx="35">
                  <c:v>14.1</c:v>
                </c:pt>
                <c:pt idx="36">
                  <c:v>9.3000000000000007</c:v>
                </c:pt>
                <c:pt idx="37">
                  <c:v>11.8</c:v>
                </c:pt>
                <c:pt idx="38">
                  <c:v>11.4</c:v>
                </c:pt>
              </c:numCache>
            </c:numRef>
          </c:val>
          <c:extLst>
            <c:ext xmlns:c16="http://schemas.microsoft.com/office/drawing/2014/chart" uri="{C3380CC4-5D6E-409C-BE32-E72D297353CC}">
              <c16:uniqueId val="{00000001-D1BB-4798-81E6-5345DBF1DF1C}"/>
            </c:ext>
          </c:extLst>
        </c:ser>
        <c:dLbls>
          <c:showLegendKey val="0"/>
          <c:showVal val="0"/>
          <c:showCatName val="0"/>
          <c:showSerName val="0"/>
          <c:showPercent val="0"/>
          <c:showBubbleSize val="0"/>
        </c:dLbls>
        <c:gapWidth val="150"/>
        <c:overlap val="100"/>
        <c:axId val="548129192"/>
        <c:axId val="548129584"/>
      </c:barChart>
      <c:catAx>
        <c:axId val="548129192"/>
        <c:scaling>
          <c:orientation val="minMax"/>
        </c:scaling>
        <c:delete val="0"/>
        <c:axPos val="l"/>
        <c:numFmt formatCode="General" sourceLinked="1"/>
        <c:majorTickMark val="out"/>
        <c:minorTickMark val="none"/>
        <c:tickLblPos val="nextTo"/>
        <c:crossAx val="548129584"/>
        <c:crosses val="autoZero"/>
        <c:auto val="1"/>
        <c:lblAlgn val="ctr"/>
        <c:lblOffset val="100"/>
        <c:noMultiLvlLbl val="0"/>
      </c:catAx>
      <c:valAx>
        <c:axId val="548129584"/>
        <c:scaling>
          <c:orientation val="minMax"/>
        </c:scaling>
        <c:delete val="0"/>
        <c:axPos val="b"/>
        <c:majorGridlines/>
        <c:numFmt formatCode="??.0" sourceLinked="1"/>
        <c:majorTickMark val="out"/>
        <c:minorTickMark val="none"/>
        <c:tickLblPos val="nextTo"/>
        <c:crossAx val="548129192"/>
        <c:crosses val="autoZero"/>
        <c:crossBetween val="between"/>
      </c:valAx>
    </c:plotArea>
    <c:legend>
      <c:legendPos val="r"/>
      <c:layout>
        <c:manualLayout>
          <c:xMode val="edge"/>
          <c:yMode val="edge"/>
          <c:x val="0.92872910623014227"/>
          <c:y val="0.46524882262057665"/>
          <c:w val="6.0307132661048923E-2"/>
          <c:h val="6.808525530053422E-2"/>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Keep2!$D$3</c:f>
              <c:strCache>
                <c:ptCount val="1"/>
                <c:pt idx="0">
                  <c:v>Ugrad</c:v>
                </c:pt>
              </c:strCache>
            </c:strRef>
          </c:tx>
          <c:invertIfNegative val="0"/>
          <c:cat>
            <c:multiLvlStrRef>
              <c:f>Keep2!$E$1:$AQ$2</c:f>
              <c:multiLvlStrCache>
                <c:ptCount val="39"/>
                <c:lvl>
                  <c:pt idx="0">
                    <c:v>CALS</c:v>
                  </c:pt>
                  <c:pt idx="1">
                    <c:v>BUS</c:v>
                  </c:pt>
                  <c:pt idx="2">
                    <c:v>DSN</c:v>
                  </c:pt>
                  <c:pt idx="3">
                    <c:v>ENGR</c:v>
                  </c:pt>
                  <c:pt idx="4">
                    <c:v>HS</c:v>
                  </c:pt>
                  <c:pt idx="5">
                    <c:v>LAS</c:v>
                  </c:pt>
                  <c:pt idx="6">
                    <c:v>ISU</c:v>
                  </c:pt>
                  <c:pt idx="8">
                    <c:v>CALS</c:v>
                  </c:pt>
                  <c:pt idx="9">
                    <c:v>BUS</c:v>
                  </c:pt>
                  <c:pt idx="10">
                    <c:v>DSN</c:v>
                  </c:pt>
                  <c:pt idx="11">
                    <c:v>ENGR</c:v>
                  </c:pt>
                  <c:pt idx="12">
                    <c:v>HS</c:v>
                  </c:pt>
                  <c:pt idx="13">
                    <c:v>LAS</c:v>
                  </c:pt>
                  <c:pt idx="14">
                    <c:v>ISU</c:v>
                  </c:pt>
                  <c:pt idx="16">
                    <c:v>CALS</c:v>
                  </c:pt>
                  <c:pt idx="17">
                    <c:v>BUS</c:v>
                  </c:pt>
                  <c:pt idx="18">
                    <c:v>DSN</c:v>
                  </c:pt>
                  <c:pt idx="19">
                    <c:v>ENGR</c:v>
                  </c:pt>
                  <c:pt idx="20">
                    <c:v>HS</c:v>
                  </c:pt>
                  <c:pt idx="21">
                    <c:v>LAS</c:v>
                  </c:pt>
                  <c:pt idx="22">
                    <c:v>ISU</c:v>
                  </c:pt>
                  <c:pt idx="24">
                    <c:v>CALS</c:v>
                  </c:pt>
                  <c:pt idx="25">
                    <c:v>BUS</c:v>
                  </c:pt>
                  <c:pt idx="26">
                    <c:v>DSN</c:v>
                  </c:pt>
                  <c:pt idx="27">
                    <c:v>ENGR</c:v>
                  </c:pt>
                  <c:pt idx="28">
                    <c:v>HS</c:v>
                  </c:pt>
                  <c:pt idx="29">
                    <c:v>LAS</c:v>
                  </c:pt>
                  <c:pt idx="30">
                    <c:v>ISU</c:v>
                  </c:pt>
                  <c:pt idx="32">
                    <c:v>CALS</c:v>
                  </c:pt>
                  <c:pt idx="33">
                    <c:v>BUS</c:v>
                  </c:pt>
                  <c:pt idx="34">
                    <c:v>DSN</c:v>
                  </c:pt>
                  <c:pt idx="35">
                    <c:v>ENGR</c:v>
                  </c:pt>
                  <c:pt idx="36">
                    <c:v>HS</c:v>
                  </c:pt>
                  <c:pt idx="37">
                    <c:v>LAS</c:v>
                  </c:pt>
                  <c:pt idx="38">
                    <c:v>ISU</c:v>
                  </c:pt>
                </c:lvl>
                <c:lvl>
                  <c:pt idx="0">
                    <c:v>2008</c:v>
                  </c:pt>
                  <c:pt idx="8">
                    <c:v>2009</c:v>
                  </c:pt>
                  <c:pt idx="16">
                    <c:v>2010</c:v>
                  </c:pt>
                  <c:pt idx="24">
                    <c:v>2011</c:v>
                  </c:pt>
                  <c:pt idx="32">
                    <c:v>2012</c:v>
                  </c:pt>
                </c:lvl>
              </c:multiLvlStrCache>
            </c:multiLvlStrRef>
          </c:cat>
          <c:val>
            <c:numRef>
              <c:f>Keep2!$E$3:$AQ$3</c:f>
              <c:numCache>
                <c:formatCode>??.0</c:formatCode>
                <c:ptCount val="39"/>
                <c:pt idx="0">
                  <c:v>31.8</c:v>
                </c:pt>
                <c:pt idx="1">
                  <c:v>68.900000000000006</c:v>
                </c:pt>
                <c:pt idx="2">
                  <c:v>27.4</c:v>
                </c:pt>
                <c:pt idx="3">
                  <c:v>30.8</c:v>
                </c:pt>
                <c:pt idx="4">
                  <c:v>33.799999999999997</c:v>
                </c:pt>
                <c:pt idx="5">
                  <c:v>35.700000000000003</c:v>
                </c:pt>
                <c:pt idx="6">
                  <c:v>35.1</c:v>
                </c:pt>
                <c:pt idx="8">
                  <c:v>32.9</c:v>
                </c:pt>
                <c:pt idx="9">
                  <c:v>63.7</c:v>
                </c:pt>
                <c:pt idx="10">
                  <c:v>31</c:v>
                </c:pt>
                <c:pt idx="11">
                  <c:v>33.299999999999997</c:v>
                </c:pt>
                <c:pt idx="12">
                  <c:v>32.799999999999997</c:v>
                </c:pt>
                <c:pt idx="13">
                  <c:v>36.9</c:v>
                </c:pt>
                <c:pt idx="14">
                  <c:v>36.299999999999997</c:v>
                </c:pt>
                <c:pt idx="16">
                  <c:v>35.6</c:v>
                </c:pt>
                <c:pt idx="17">
                  <c:v>56.2</c:v>
                </c:pt>
                <c:pt idx="18">
                  <c:v>30.7</c:v>
                </c:pt>
                <c:pt idx="19">
                  <c:v>34.9</c:v>
                </c:pt>
                <c:pt idx="20">
                  <c:v>35.299999999999997</c:v>
                </c:pt>
                <c:pt idx="21">
                  <c:v>36</c:v>
                </c:pt>
                <c:pt idx="22">
                  <c:v>36.4</c:v>
                </c:pt>
                <c:pt idx="24">
                  <c:v>35</c:v>
                </c:pt>
                <c:pt idx="25">
                  <c:v>59.1</c:v>
                </c:pt>
                <c:pt idx="26">
                  <c:v>29.5</c:v>
                </c:pt>
                <c:pt idx="27">
                  <c:v>36.299999999999997</c:v>
                </c:pt>
                <c:pt idx="28">
                  <c:v>40.799999999999997</c:v>
                </c:pt>
                <c:pt idx="29">
                  <c:v>36.4</c:v>
                </c:pt>
                <c:pt idx="30">
                  <c:v>37.4</c:v>
                </c:pt>
                <c:pt idx="32">
                  <c:v>36.5</c:v>
                </c:pt>
                <c:pt idx="33">
                  <c:v>57.8</c:v>
                </c:pt>
                <c:pt idx="34">
                  <c:v>28.6</c:v>
                </c:pt>
                <c:pt idx="35">
                  <c:v>37</c:v>
                </c:pt>
                <c:pt idx="36">
                  <c:v>43.1</c:v>
                </c:pt>
                <c:pt idx="37">
                  <c:v>35.700000000000003</c:v>
                </c:pt>
                <c:pt idx="38">
                  <c:v>37.200000000000003</c:v>
                </c:pt>
              </c:numCache>
            </c:numRef>
          </c:val>
          <c:extLst>
            <c:ext xmlns:c16="http://schemas.microsoft.com/office/drawing/2014/chart" uri="{C3380CC4-5D6E-409C-BE32-E72D297353CC}">
              <c16:uniqueId val="{00000000-2B1F-4A4F-B216-25F994C61DA4}"/>
            </c:ext>
          </c:extLst>
        </c:ser>
        <c:ser>
          <c:idx val="1"/>
          <c:order val="1"/>
          <c:tx>
            <c:strRef>
              <c:f>Keep2!$D$4</c:f>
              <c:strCache>
                <c:ptCount val="1"/>
                <c:pt idx="0">
                  <c:v>Grad</c:v>
                </c:pt>
              </c:strCache>
            </c:strRef>
          </c:tx>
          <c:invertIfNegative val="0"/>
          <c:cat>
            <c:multiLvlStrRef>
              <c:f>Keep2!$E$1:$AQ$2</c:f>
              <c:multiLvlStrCache>
                <c:ptCount val="39"/>
                <c:lvl>
                  <c:pt idx="0">
                    <c:v>CALS</c:v>
                  </c:pt>
                  <c:pt idx="1">
                    <c:v>BUS</c:v>
                  </c:pt>
                  <c:pt idx="2">
                    <c:v>DSN</c:v>
                  </c:pt>
                  <c:pt idx="3">
                    <c:v>ENGR</c:v>
                  </c:pt>
                  <c:pt idx="4">
                    <c:v>HS</c:v>
                  </c:pt>
                  <c:pt idx="5">
                    <c:v>LAS</c:v>
                  </c:pt>
                  <c:pt idx="6">
                    <c:v>ISU</c:v>
                  </c:pt>
                  <c:pt idx="8">
                    <c:v>CALS</c:v>
                  </c:pt>
                  <c:pt idx="9">
                    <c:v>BUS</c:v>
                  </c:pt>
                  <c:pt idx="10">
                    <c:v>DSN</c:v>
                  </c:pt>
                  <c:pt idx="11">
                    <c:v>ENGR</c:v>
                  </c:pt>
                  <c:pt idx="12">
                    <c:v>HS</c:v>
                  </c:pt>
                  <c:pt idx="13">
                    <c:v>LAS</c:v>
                  </c:pt>
                  <c:pt idx="14">
                    <c:v>ISU</c:v>
                  </c:pt>
                  <c:pt idx="16">
                    <c:v>CALS</c:v>
                  </c:pt>
                  <c:pt idx="17">
                    <c:v>BUS</c:v>
                  </c:pt>
                  <c:pt idx="18">
                    <c:v>DSN</c:v>
                  </c:pt>
                  <c:pt idx="19">
                    <c:v>ENGR</c:v>
                  </c:pt>
                  <c:pt idx="20">
                    <c:v>HS</c:v>
                  </c:pt>
                  <c:pt idx="21">
                    <c:v>LAS</c:v>
                  </c:pt>
                  <c:pt idx="22">
                    <c:v>ISU</c:v>
                  </c:pt>
                  <c:pt idx="24">
                    <c:v>CALS</c:v>
                  </c:pt>
                  <c:pt idx="25">
                    <c:v>BUS</c:v>
                  </c:pt>
                  <c:pt idx="26">
                    <c:v>DSN</c:v>
                  </c:pt>
                  <c:pt idx="27">
                    <c:v>ENGR</c:v>
                  </c:pt>
                  <c:pt idx="28">
                    <c:v>HS</c:v>
                  </c:pt>
                  <c:pt idx="29">
                    <c:v>LAS</c:v>
                  </c:pt>
                  <c:pt idx="30">
                    <c:v>ISU</c:v>
                  </c:pt>
                  <c:pt idx="32">
                    <c:v>CALS</c:v>
                  </c:pt>
                  <c:pt idx="33">
                    <c:v>BUS</c:v>
                  </c:pt>
                  <c:pt idx="34">
                    <c:v>DSN</c:v>
                  </c:pt>
                  <c:pt idx="35">
                    <c:v>ENGR</c:v>
                  </c:pt>
                  <c:pt idx="36">
                    <c:v>HS</c:v>
                  </c:pt>
                  <c:pt idx="37">
                    <c:v>LAS</c:v>
                  </c:pt>
                  <c:pt idx="38">
                    <c:v>ISU</c:v>
                  </c:pt>
                </c:lvl>
                <c:lvl>
                  <c:pt idx="0">
                    <c:v>2008</c:v>
                  </c:pt>
                  <c:pt idx="8">
                    <c:v>2009</c:v>
                  </c:pt>
                  <c:pt idx="16">
                    <c:v>2010</c:v>
                  </c:pt>
                  <c:pt idx="24">
                    <c:v>2011</c:v>
                  </c:pt>
                  <c:pt idx="32">
                    <c:v>2012</c:v>
                  </c:pt>
                </c:lvl>
              </c:multiLvlStrCache>
            </c:multiLvlStrRef>
          </c:cat>
          <c:val>
            <c:numRef>
              <c:f>Keep2!$E$4:$AQ$4</c:f>
              <c:numCache>
                <c:formatCode>??.0</c:formatCode>
                <c:ptCount val="39"/>
                <c:pt idx="0">
                  <c:v>8.4</c:v>
                </c:pt>
                <c:pt idx="1">
                  <c:v>23.3</c:v>
                </c:pt>
                <c:pt idx="2">
                  <c:v>8.1</c:v>
                </c:pt>
                <c:pt idx="3">
                  <c:v>11.8</c:v>
                </c:pt>
                <c:pt idx="4">
                  <c:v>9.4</c:v>
                </c:pt>
                <c:pt idx="5">
                  <c:v>12.1</c:v>
                </c:pt>
                <c:pt idx="6">
                  <c:v>11.1</c:v>
                </c:pt>
                <c:pt idx="8">
                  <c:v>9.3000000000000007</c:v>
                </c:pt>
                <c:pt idx="9">
                  <c:v>22.8</c:v>
                </c:pt>
                <c:pt idx="10">
                  <c:v>8.6999999999999993</c:v>
                </c:pt>
                <c:pt idx="11">
                  <c:v>12.9</c:v>
                </c:pt>
                <c:pt idx="12">
                  <c:v>10.3</c:v>
                </c:pt>
                <c:pt idx="13">
                  <c:v>12.8</c:v>
                </c:pt>
                <c:pt idx="14">
                  <c:v>12</c:v>
                </c:pt>
                <c:pt idx="16">
                  <c:v>9.3000000000000007</c:v>
                </c:pt>
                <c:pt idx="17">
                  <c:v>21.7</c:v>
                </c:pt>
                <c:pt idx="18">
                  <c:v>9.1</c:v>
                </c:pt>
                <c:pt idx="19">
                  <c:v>13.2</c:v>
                </c:pt>
                <c:pt idx="20">
                  <c:v>10.3</c:v>
                </c:pt>
                <c:pt idx="21">
                  <c:v>13</c:v>
                </c:pt>
                <c:pt idx="22">
                  <c:v>12</c:v>
                </c:pt>
                <c:pt idx="24">
                  <c:v>9.1999999999999993</c:v>
                </c:pt>
                <c:pt idx="25">
                  <c:v>20.7</c:v>
                </c:pt>
                <c:pt idx="26">
                  <c:v>8.3000000000000007</c:v>
                </c:pt>
                <c:pt idx="27">
                  <c:v>13.2</c:v>
                </c:pt>
                <c:pt idx="28">
                  <c:v>10.1</c:v>
                </c:pt>
                <c:pt idx="29">
                  <c:v>12.7</c:v>
                </c:pt>
                <c:pt idx="30">
                  <c:v>11.7</c:v>
                </c:pt>
                <c:pt idx="32">
                  <c:v>10</c:v>
                </c:pt>
                <c:pt idx="33">
                  <c:v>17.3</c:v>
                </c:pt>
                <c:pt idx="34">
                  <c:v>8.1</c:v>
                </c:pt>
                <c:pt idx="35">
                  <c:v>14.1</c:v>
                </c:pt>
                <c:pt idx="36">
                  <c:v>9.3000000000000007</c:v>
                </c:pt>
                <c:pt idx="37">
                  <c:v>11.8</c:v>
                </c:pt>
                <c:pt idx="38">
                  <c:v>11.4</c:v>
                </c:pt>
              </c:numCache>
            </c:numRef>
          </c:val>
          <c:extLst>
            <c:ext xmlns:c16="http://schemas.microsoft.com/office/drawing/2014/chart" uri="{C3380CC4-5D6E-409C-BE32-E72D297353CC}">
              <c16:uniqueId val="{00000001-2B1F-4A4F-B216-25F994C61DA4}"/>
            </c:ext>
          </c:extLst>
        </c:ser>
        <c:dLbls>
          <c:showLegendKey val="0"/>
          <c:showVal val="0"/>
          <c:showCatName val="0"/>
          <c:showSerName val="0"/>
          <c:showPercent val="0"/>
          <c:showBubbleSize val="0"/>
        </c:dLbls>
        <c:gapWidth val="150"/>
        <c:overlap val="100"/>
        <c:axId val="548130368"/>
        <c:axId val="535707648"/>
      </c:barChart>
      <c:catAx>
        <c:axId val="548130368"/>
        <c:scaling>
          <c:orientation val="minMax"/>
        </c:scaling>
        <c:delete val="0"/>
        <c:axPos val="l"/>
        <c:numFmt formatCode="General" sourceLinked="1"/>
        <c:majorTickMark val="out"/>
        <c:minorTickMark val="none"/>
        <c:tickLblPos val="nextTo"/>
        <c:crossAx val="535707648"/>
        <c:crosses val="autoZero"/>
        <c:auto val="1"/>
        <c:lblAlgn val="ctr"/>
        <c:lblOffset val="100"/>
        <c:noMultiLvlLbl val="0"/>
      </c:catAx>
      <c:valAx>
        <c:axId val="535707648"/>
        <c:scaling>
          <c:orientation val="minMax"/>
        </c:scaling>
        <c:delete val="0"/>
        <c:axPos val="b"/>
        <c:majorGridlines/>
        <c:numFmt formatCode="??.0" sourceLinked="1"/>
        <c:majorTickMark val="out"/>
        <c:minorTickMark val="none"/>
        <c:tickLblPos val="nextTo"/>
        <c:crossAx val="548130368"/>
        <c:crosses val="autoZero"/>
        <c:crossBetween val="between"/>
      </c:valAx>
    </c:plotArea>
    <c:legend>
      <c:legendPos val="r"/>
      <c:layout>
        <c:manualLayout>
          <c:xMode val="edge"/>
          <c:yMode val="edge"/>
          <c:x val="0.92990188384173778"/>
          <c:y val="0.46524882262057665"/>
          <c:w val="6.0240963855421659E-2"/>
          <c:h val="6.808525530053422E-2"/>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Keep3!$A$4</c:f>
              <c:strCache>
                <c:ptCount val="1"/>
                <c:pt idx="0">
                  <c:v>Ugrad</c:v>
                </c:pt>
              </c:strCache>
            </c:strRef>
          </c:tx>
          <c:invertIfNegative val="0"/>
          <c:cat>
            <c:multiLvlStrRef>
              <c:f>Keep3!$B$2:$AQ$3</c:f>
              <c:multiLvlStrCache>
                <c:ptCount val="41"/>
                <c:lvl>
                  <c:pt idx="0">
                    <c:v>2008</c:v>
                  </c:pt>
                  <c:pt idx="1">
                    <c:v>2009</c:v>
                  </c:pt>
                  <c:pt idx="2">
                    <c:v>2010</c:v>
                  </c:pt>
                  <c:pt idx="3">
                    <c:v>2011</c:v>
                  </c:pt>
                  <c:pt idx="4">
                    <c:v>2012</c:v>
                  </c:pt>
                  <c:pt idx="6">
                    <c:v>2008</c:v>
                  </c:pt>
                  <c:pt idx="7">
                    <c:v>2009</c:v>
                  </c:pt>
                  <c:pt idx="8">
                    <c:v>2010</c:v>
                  </c:pt>
                  <c:pt idx="9">
                    <c:v>2011</c:v>
                  </c:pt>
                  <c:pt idx="10">
                    <c:v>2012</c:v>
                  </c:pt>
                  <c:pt idx="12">
                    <c:v>2008</c:v>
                  </c:pt>
                  <c:pt idx="13">
                    <c:v>2009</c:v>
                  </c:pt>
                  <c:pt idx="14">
                    <c:v>2010</c:v>
                  </c:pt>
                  <c:pt idx="15">
                    <c:v>2011</c:v>
                  </c:pt>
                  <c:pt idx="16">
                    <c:v>2012</c:v>
                  </c:pt>
                  <c:pt idx="18">
                    <c:v>2008</c:v>
                  </c:pt>
                  <c:pt idx="19">
                    <c:v>2009</c:v>
                  </c:pt>
                  <c:pt idx="20">
                    <c:v>2010</c:v>
                  </c:pt>
                  <c:pt idx="21">
                    <c:v>2011</c:v>
                  </c:pt>
                  <c:pt idx="22">
                    <c:v>2012</c:v>
                  </c:pt>
                  <c:pt idx="24">
                    <c:v>2008</c:v>
                  </c:pt>
                  <c:pt idx="25">
                    <c:v>2009</c:v>
                  </c:pt>
                  <c:pt idx="26">
                    <c:v>2010</c:v>
                  </c:pt>
                  <c:pt idx="27">
                    <c:v>2011</c:v>
                  </c:pt>
                  <c:pt idx="28">
                    <c:v>2012</c:v>
                  </c:pt>
                  <c:pt idx="30">
                    <c:v>2008</c:v>
                  </c:pt>
                  <c:pt idx="31">
                    <c:v>2009</c:v>
                  </c:pt>
                  <c:pt idx="32">
                    <c:v>2010</c:v>
                  </c:pt>
                  <c:pt idx="33">
                    <c:v>2011</c:v>
                  </c:pt>
                  <c:pt idx="34">
                    <c:v>2012</c:v>
                  </c:pt>
                  <c:pt idx="36">
                    <c:v>2008</c:v>
                  </c:pt>
                  <c:pt idx="37">
                    <c:v>2009</c:v>
                  </c:pt>
                  <c:pt idx="38">
                    <c:v>2010</c:v>
                  </c:pt>
                  <c:pt idx="39">
                    <c:v>2011</c:v>
                  </c:pt>
                  <c:pt idx="40">
                    <c:v>2012</c:v>
                  </c:pt>
                </c:lvl>
                <c:lvl>
                  <c:pt idx="0">
                    <c:v>CALS</c:v>
                  </c:pt>
                  <c:pt idx="6">
                    <c:v>BUS</c:v>
                  </c:pt>
                  <c:pt idx="12">
                    <c:v>DSN</c:v>
                  </c:pt>
                  <c:pt idx="18">
                    <c:v>ENGR</c:v>
                  </c:pt>
                  <c:pt idx="24">
                    <c:v>HS</c:v>
                  </c:pt>
                  <c:pt idx="30">
                    <c:v>LAS</c:v>
                  </c:pt>
                  <c:pt idx="36">
                    <c:v>ISU TOTAL</c:v>
                  </c:pt>
                </c:lvl>
              </c:multiLvlStrCache>
            </c:multiLvlStrRef>
          </c:cat>
          <c:val>
            <c:numRef>
              <c:f>Keep3!$B$4:$AQ$4</c:f>
              <c:numCache>
                <c:formatCode>??.0</c:formatCode>
                <c:ptCount val="42"/>
                <c:pt idx="0">
                  <c:v>31.8</c:v>
                </c:pt>
                <c:pt idx="1">
                  <c:v>32.9</c:v>
                </c:pt>
                <c:pt idx="2">
                  <c:v>35.6</c:v>
                </c:pt>
                <c:pt idx="3">
                  <c:v>35</c:v>
                </c:pt>
                <c:pt idx="4">
                  <c:v>36.5</c:v>
                </c:pt>
                <c:pt idx="6">
                  <c:v>68.900000000000006</c:v>
                </c:pt>
                <c:pt idx="7">
                  <c:v>63.7</c:v>
                </c:pt>
                <c:pt idx="8">
                  <c:v>56.2</c:v>
                </c:pt>
                <c:pt idx="9">
                  <c:v>59.1</c:v>
                </c:pt>
                <c:pt idx="10">
                  <c:v>57.8</c:v>
                </c:pt>
                <c:pt idx="12">
                  <c:v>27.4</c:v>
                </c:pt>
                <c:pt idx="13">
                  <c:v>31</c:v>
                </c:pt>
                <c:pt idx="14">
                  <c:v>30.7</c:v>
                </c:pt>
                <c:pt idx="15">
                  <c:v>29.5</c:v>
                </c:pt>
                <c:pt idx="16">
                  <c:v>28.6</c:v>
                </c:pt>
                <c:pt idx="18">
                  <c:v>30.8</c:v>
                </c:pt>
                <c:pt idx="19">
                  <c:v>33.299999999999997</c:v>
                </c:pt>
                <c:pt idx="20">
                  <c:v>34.9</c:v>
                </c:pt>
                <c:pt idx="21">
                  <c:v>36.299999999999997</c:v>
                </c:pt>
                <c:pt idx="22">
                  <c:v>37</c:v>
                </c:pt>
                <c:pt idx="24">
                  <c:v>33.799999999999997</c:v>
                </c:pt>
                <c:pt idx="25">
                  <c:v>32.799999999999997</c:v>
                </c:pt>
                <c:pt idx="26">
                  <c:v>35.299999999999997</c:v>
                </c:pt>
                <c:pt idx="27">
                  <c:v>40.799999999999997</c:v>
                </c:pt>
                <c:pt idx="28">
                  <c:v>43.1</c:v>
                </c:pt>
                <c:pt idx="30">
                  <c:v>35.700000000000003</c:v>
                </c:pt>
                <c:pt idx="31">
                  <c:v>36.9</c:v>
                </c:pt>
                <c:pt idx="32">
                  <c:v>36</c:v>
                </c:pt>
                <c:pt idx="33">
                  <c:v>36.4</c:v>
                </c:pt>
                <c:pt idx="34">
                  <c:v>35.700000000000003</c:v>
                </c:pt>
                <c:pt idx="36">
                  <c:v>35.1</c:v>
                </c:pt>
                <c:pt idx="37">
                  <c:v>36.299999999999997</c:v>
                </c:pt>
                <c:pt idx="38">
                  <c:v>36.4</c:v>
                </c:pt>
                <c:pt idx="39">
                  <c:v>37.4</c:v>
                </c:pt>
                <c:pt idx="40">
                  <c:v>37.200000000000003</c:v>
                </c:pt>
              </c:numCache>
            </c:numRef>
          </c:val>
          <c:extLst>
            <c:ext xmlns:c16="http://schemas.microsoft.com/office/drawing/2014/chart" uri="{C3380CC4-5D6E-409C-BE32-E72D297353CC}">
              <c16:uniqueId val="{00000000-11F6-455C-879F-5DDCD2F74773}"/>
            </c:ext>
          </c:extLst>
        </c:ser>
        <c:ser>
          <c:idx val="1"/>
          <c:order val="1"/>
          <c:tx>
            <c:strRef>
              <c:f>Keep3!$A$5</c:f>
              <c:strCache>
                <c:ptCount val="1"/>
                <c:pt idx="0">
                  <c:v>Grad</c:v>
                </c:pt>
              </c:strCache>
            </c:strRef>
          </c:tx>
          <c:invertIfNegative val="0"/>
          <c:cat>
            <c:multiLvlStrRef>
              <c:f>Keep3!$B$2:$AQ$3</c:f>
              <c:multiLvlStrCache>
                <c:ptCount val="41"/>
                <c:lvl>
                  <c:pt idx="0">
                    <c:v>2008</c:v>
                  </c:pt>
                  <c:pt idx="1">
                    <c:v>2009</c:v>
                  </c:pt>
                  <c:pt idx="2">
                    <c:v>2010</c:v>
                  </c:pt>
                  <c:pt idx="3">
                    <c:v>2011</c:v>
                  </c:pt>
                  <c:pt idx="4">
                    <c:v>2012</c:v>
                  </c:pt>
                  <c:pt idx="6">
                    <c:v>2008</c:v>
                  </c:pt>
                  <c:pt idx="7">
                    <c:v>2009</c:v>
                  </c:pt>
                  <c:pt idx="8">
                    <c:v>2010</c:v>
                  </c:pt>
                  <c:pt idx="9">
                    <c:v>2011</c:v>
                  </c:pt>
                  <c:pt idx="10">
                    <c:v>2012</c:v>
                  </c:pt>
                  <c:pt idx="12">
                    <c:v>2008</c:v>
                  </c:pt>
                  <c:pt idx="13">
                    <c:v>2009</c:v>
                  </c:pt>
                  <c:pt idx="14">
                    <c:v>2010</c:v>
                  </c:pt>
                  <c:pt idx="15">
                    <c:v>2011</c:v>
                  </c:pt>
                  <c:pt idx="16">
                    <c:v>2012</c:v>
                  </c:pt>
                  <c:pt idx="18">
                    <c:v>2008</c:v>
                  </c:pt>
                  <c:pt idx="19">
                    <c:v>2009</c:v>
                  </c:pt>
                  <c:pt idx="20">
                    <c:v>2010</c:v>
                  </c:pt>
                  <c:pt idx="21">
                    <c:v>2011</c:v>
                  </c:pt>
                  <c:pt idx="22">
                    <c:v>2012</c:v>
                  </c:pt>
                  <c:pt idx="24">
                    <c:v>2008</c:v>
                  </c:pt>
                  <c:pt idx="25">
                    <c:v>2009</c:v>
                  </c:pt>
                  <c:pt idx="26">
                    <c:v>2010</c:v>
                  </c:pt>
                  <c:pt idx="27">
                    <c:v>2011</c:v>
                  </c:pt>
                  <c:pt idx="28">
                    <c:v>2012</c:v>
                  </c:pt>
                  <c:pt idx="30">
                    <c:v>2008</c:v>
                  </c:pt>
                  <c:pt idx="31">
                    <c:v>2009</c:v>
                  </c:pt>
                  <c:pt idx="32">
                    <c:v>2010</c:v>
                  </c:pt>
                  <c:pt idx="33">
                    <c:v>2011</c:v>
                  </c:pt>
                  <c:pt idx="34">
                    <c:v>2012</c:v>
                  </c:pt>
                  <c:pt idx="36">
                    <c:v>2008</c:v>
                  </c:pt>
                  <c:pt idx="37">
                    <c:v>2009</c:v>
                  </c:pt>
                  <c:pt idx="38">
                    <c:v>2010</c:v>
                  </c:pt>
                  <c:pt idx="39">
                    <c:v>2011</c:v>
                  </c:pt>
                  <c:pt idx="40">
                    <c:v>2012</c:v>
                  </c:pt>
                </c:lvl>
                <c:lvl>
                  <c:pt idx="0">
                    <c:v>CALS</c:v>
                  </c:pt>
                  <c:pt idx="6">
                    <c:v>BUS</c:v>
                  </c:pt>
                  <c:pt idx="12">
                    <c:v>DSN</c:v>
                  </c:pt>
                  <c:pt idx="18">
                    <c:v>ENGR</c:v>
                  </c:pt>
                  <c:pt idx="24">
                    <c:v>HS</c:v>
                  </c:pt>
                  <c:pt idx="30">
                    <c:v>LAS</c:v>
                  </c:pt>
                  <c:pt idx="36">
                    <c:v>ISU TOTAL</c:v>
                  </c:pt>
                </c:lvl>
              </c:multiLvlStrCache>
            </c:multiLvlStrRef>
          </c:cat>
          <c:val>
            <c:numRef>
              <c:f>Keep3!$B$5:$AQ$5</c:f>
              <c:numCache>
                <c:formatCode>??.0</c:formatCode>
                <c:ptCount val="42"/>
                <c:pt idx="0">
                  <c:v>8.4</c:v>
                </c:pt>
                <c:pt idx="1">
                  <c:v>9.3000000000000007</c:v>
                </c:pt>
                <c:pt idx="2">
                  <c:v>9.3000000000000007</c:v>
                </c:pt>
                <c:pt idx="3">
                  <c:v>9.1999999999999993</c:v>
                </c:pt>
                <c:pt idx="4">
                  <c:v>10</c:v>
                </c:pt>
                <c:pt idx="6">
                  <c:v>23.3</c:v>
                </c:pt>
                <c:pt idx="7">
                  <c:v>22.8</c:v>
                </c:pt>
                <c:pt idx="8">
                  <c:v>21.7</c:v>
                </c:pt>
                <c:pt idx="9">
                  <c:v>20.7</c:v>
                </c:pt>
                <c:pt idx="10">
                  <c:v>17.3</c:v>
                </c:pt>
                <c:pt idx="12">
                  <c:v>8.1</c:v>
                </c:pt>
                <c:pt idx="13">
                  <c:v>8.6999999999999993</c:v>
                </c:pt>
                <c:pt idx="14">
                  <c:v>9.1</c:v>
                </c:pt>
                <c:pt idx="15">
                  <c:v>8.3000000000000007</c:v>
                </c:pt>
                <c:pt idx="16">
                  <c:v>8.1</c:v>
                </c:pt>
                <c:pt idx="18">
                  <c:v>11.8</c:v>
                </c:pt>
                <c:pt idx="19">
                  <c:v>12.9</c:v>
                </c:pt>
                <c:pt idx="20">
                  <c:v>13.2</c:v>
                </c:pt>
                <c:pt idx="21">
                  <c:v>13.2</c:v>
                </c:pt>
                <c:pt idx="22">
                  <c:v>14.1</c:v>
                </c:pt>
                <c:pt idx="24">
                  <c:v>9.4</c:v>
                </c:pt>
                <c:pt idx="25">
                  <c:v>10.3</c:v>
                </c:pt>
                <c:pt idx="26">
                  <c:v>10.3</c:v>
                </c:pt>
                <c:pt idx="27">
                  <c:v>10.1</c:v>
                </c:pt>
                <c:pt idx="28">
                  <c:v>9.3000000000000007</c:v>
                </c:pt>
                <c:pt idx="30">
                  <c:v>12.1</c:v>
                </c:pt>
                <c:pt idx="31">
                  <c:v>12.8</c:v>
                </c:pt>
                <c:pt idx="32">
                  <c:v>13</c:v>
                </c:pt>
                <c:pt idx="33">
                  <c:v>12.7</c:v>
                </c:pt>
                <c:pt idx="34">
                  <c:v>11.8</c:v>
                </c:pt>
                <c:pt idx="36">
                  <c:v>11.1</c:v>
                </c:pt>
                <c:pt idx="37">
                  <c:v>12</c:v>
                </c:pt>
                <c:pt idx="38">
                  <c:v>12</c:v>
                </c:pt>
                <c:pt idx="39">
                  <c:v>11.7</c:v>
                </c:pt>
                <c:pt idx="40">
                  <c:v>11.4</c:v>
                </c:pt>
              </c:numCache>
            </c:numRef>
          </c:val>
          <c:extLst>
            <c:ext xmlns:c16="http://schemas.microsoft.com/office/drawing/2014/chart" uri="{C3380CC4-5D6E-409C-BE32-E72D297353CC}">
              <c16:uniqueId val="{00000001-11F6-455C-879F-5DDCD2F74773}"/>
            </c:ext>
          </c:extLst>
        </c:ser>
        <c:dLbls>
          <c:showLegendKey val="0"/>
          <c:showVal val="0"/>
          <c:showCatName val="0"/>
          <c:showSerName val="0"/>
          <c:showPercent val="0"/>
          <c:showBubbleSize val="0"/>
        </c:dLbls>
        <c:gapWidth val="150"/>
        <c:overlap val="100"/>
        <c:axId val="535708040"/>
        <c:axId val="535708824"/>
      </c:barChart>
      <c:catAx>
        <c:axId val="535708040"/>
        <c:scaling>
          <c:orientation val="minMax"/>
        </c:scaling>
        <c:delete val="0"/>
        <c:axPos val="b"/>
        <c:numFmt formatCode="General" sourceLinked="1"/>
        <c:majorTickMark val="none"/>
        <c:minorTickMark val="none"/>
        <c:tickLblPos val="nextTo"/>
        <c:spPr>
          <a:ln>
            <a:noFill/>
          </a:ln>
        </c:spPr>
        <c:crossAx val="535708824"/>
        <c:crosses val="autoZero"/>
        <c:auto val="1"/>
        <c:lblAlgn val="ctr"/>
        <c:lblOffset val="100"/>
        <c:noMultiLvlLbl val="0"/>
      </c:catAx>
      <c:valAx>
        <c:axId val="535708824"/>
        <c:scaling>
          <c:orientation val="minMax"/>
        </c:scaling>
        <c:delete val="0"/>
        <c:axPos val="l"/>
        <c:majorGridlines/>
        <c:numFmt formatCode="??.0" sourceLinked="1"/>
        <c:majorTickMark val="out"/>
        <c:minorTickMark val="none"/>
        <c:tickLblPos val="nextTo"/>
        <c:crossAx val="535708040"/>
        <c:crosses val="autoZero"/>
        <c:crossBetween val="between"/>
      </c:valAx>
    </c:plotArea>
    <c:legend>
      <c:legendPos val="r"/>
      <c:layout>
        <c:manualLayout>
          <c:xMode val="edge"/>
          <c:yMode val="edge"/>
          <c:x val="0.91523178807947014"/>
          <c:y val="0.46433831142286253"/>
          <c:w val="7.2847682119205337E-2"/>
          <c:h val="6.9869148452513352E-2"/>
        </c:manualLayout>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15328</xdr:colOff>
      <xdr:row>0</xdr:row>
      <xdr:rowOff>56418</xdr:rowOff>
    </xdr:from>
    <xdr:to>
      <xdr:col>69</xdr:col>
      <xdr:colOff>365760</xdr:colOff>
      <xdr:row>1</xdr:row>
      <xdr:rowOff>3552</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15328" y="56418"/>
          <a:ext cx="8751482" cy="137634"/>
          <a:chOff x="15328" y="56418"/>
          <a:chExt cx="8976272" cy="137634"/>
        </a:xfrm>
      </xdr:grpSpPr>
      <xdr:pic>
        <xdr:nvPicPr>
          <xdr:cNvPr id="2414" name="Picture 4">
            <a:extLst>
              <a:ext uri="{FF2B5EF4-FFF2-40B4-BE49-F238E27FC236}">
                <a16:creationId xmlns:a16="http://schemas.microsoft.com/office/drawing/2014/main" id="{00000000-0008-0000-0000-00006E09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01" y="56418"/>
            <a:ext cx="1372531" cy="9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15" name="Line 5">
            <a:extLst>
              <a:ext uri="{FF2B5EF4-FFF2-40B4-BE49-F238E27FC236}">
                <a16:creationId xmlns:a16="http://schemas.microsoft.com/office/drawing/2014/main" id="{00000000-0008-0000-0000-00006F090000}"/>
              </a:ext>
            </a:extLst>
          </xdr:cNvPr>
          <xdr:cNvSpPr>
            <a:spLocks noChangeAspect="1" noChangeShapeType="1"/>
          </xdr:cNvSpPr>
        </xdr:nvSpPr>
        <xdr:spPr bwMode="auto">
          <a:xfrm>
            <a:off x="15328" y="194052"/>
            <a:ext cx="8976272"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absolute">
    <xdr:from>
      <xdr:col>0</xdr:col>
      <xdr:colOff>89610</xdr:colOff>
      <xdr:row>59</xdr:row>
      <xdr:rowOff>185999</xdr:rowOff>
    </xdr:from>
    <xdr:to>
      <xdr:col>69</xdr:col>
      <xdr:colOff>420687</xdr:colOff>
      <xdr:row>73</xdr:row>
      <xdr:rowOff>99378</xdr:rowOff>
    </xdr:to>
    <xdr:graphicFrame macro="">
      <xdr:nvGraphicFramePr>
        <xdr:cNvPr id="2412" name="Chart 4">
          <a:extLst>
            <a:ext uri="{FF2B5EF4-FFF2-40B4-BE49-F238E27FC236}">
              <a16:creationId xmlns:a16="http://schemas.microsoft.com/office/drawing/2014/main" id="{00000000-0008-0000-0000-00006C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56418</xdr:rowOff>
    </xdr:from>
    <xdr:to>
      <xdr:col>69</xdr:col>
      <xdr:colOff>396240</xdr:colOff>
      <xdr:row>58</xdr:row>
      <xdr:rowOff>3552</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7762143"/>
          <a:ext cx="8797290" cy="137634"/>
          <a:chOff x="0" y="7676418"/>
          <a:chExt cx="9022080" cy="137634"/>
        </a:xfrm>
      </xdr:grpSpPr>
      <xdr:pic>
        <xdr:nvPicPr>
          <xdr:cNvPr id="14" name="Picture 4">
            <a:extLst>
              <a:ext uri="{FF2B5EF4-FFF2-40B4-BE49-F238E27FC236}">
                <a16:creationId xmlns:a16="http://schemas.microsoft.com/office/drawing/2014/main" id="{00000000-0008-0000-0000-00000E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75" y="7676418"/>
            <a:ext cx="1407305" cy="9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Line 5">
            <a:extLst>
              <a:ext uri="{FF2B5EF4-FFF2-40B4-BE49-F238E27FC236}">
                <a16:creationId xmlns:a16="http://schemas.microsoft.com/office/drawing/2014/main" id="{00000000-0008-0000-0000-00000F000000}"/>
              </a:ext>
            </a:extLst>
          </xdr:cNvPr>
          <xdr:cNvSpPr>
            <a:spLocks noChangeAspect="1" noChangeShapeType="1"/>
          </xdr:cNvSpPr>
        </xdr:nvSpPr>
        <xdr:spPr bwMode="auto">
          <a:xfrm>
            <a:off x="0" y="7814052"/>
            <a:ext cx="90220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74</xdr:row>
      <xdr:rowOff>74613</xdr:rowOff>
    </xdr:from>
    <xdr:to>
      <xdr:col>69</xdr:col>
      <xdr:colOff>428625</xdr:colOff>
      <xdr:row>85</xdr:row>
      <xdr:rowOff>334963</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275166</xdr:colOff>
      <xdr:row>7</xdr:row>
      <xdr:rowOff>289983</xdr:rowOff>
    </xdr:from>
    <xdr:to>
      <xdr:col>83</xdr:col>
      <xdr:colOff>327024</xdr:colOff>
      <xdr:row>37</xdr:row>
      <xdr:rowOff>131234</xdr:rowOff>
    </xdr:to>
    <xdr:graphicFrame macro="">
      <xdr:nvGraphicFramePr>
        <xdr:cNvPr id="13349" name="Chart 2">
          <a:extLst>
            <a:ext uri="{FF2B5EF4-FFF2-40B4-BE49-F238E27FC236}">
              <a16:creationId xmlns:a16="http://schemas.microsoft.com/office/drawing/2014/main" id="{00000000-0008-0000-0200-000025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138112</xdr:rowOff>
    </xdr:from>
    <xdr:to>
      <xdr:col>88</xdr:col>
      <xdr:colOff>47625</xdr:colOff>
      <xdr:row>36</xdr:row>
      <xdr:rowOff>28575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0</xdr:row>
      <xdr:rowOff>123825</xdr:rowOff>
    </xdr:to>
    <xdr:grpSp>
      <xdr:nvGrpSpPr>
        <xdr:cNvPr id="4252" name="Group 3">
          <a:extLst>
            <a:ext uri="{FF2B5EF4-FFF2-40B4-BE49-F238E27FC236}">
              <a16:creationId xmlns:a16="http://schemas.microsoft.com/office/drawing/2014/main" id="{00000000-0008-0000-0400-00009C100000}"/>
            </a:ext>
          </a:extLst>
        </xdr:cNvPr>
        <xdr:cNvGrpSpPr>
          <a:grpSpLocks noChangeAspect="1"/>
        </xdr:cNvGrpSpPr>
      </xdr:nvGrpSpPr>
      <xdr:grpSpPr bwMode="auto">
        <a:xfrm>
          <a:off x="0" y="0"/>
          <a:ext cx="6138333" cy="123825"/>
          <a:chOff x="1" y="16"/>
          <a:chExt cx="860" cy="13"/>
        </a:xfrm>
      </xdr:grpSpPr>
      <xdr:pic>
        <xdr:nvPicPr>
          <xdr:cNvPr id="4254" name="Picture 4">
            <a:extLst>
              <a:ext uri="{FF2B5EF4-FFF2-40B4-BE49-F238E27FC236}">
                <a16:creationId xmlns:a16="http://schemas.microsoft.com/office/drawing/2014/main" id="{00000000-0008-0000-0400-00009E1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 y="16"/>
            <a:ext cx="112" cy="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55" name="Line 5">
            <a:extLst>
              <a:ext uri="{FF2B5EF4-FFF2-40B4-BE49-F238E27FC236}">
                <a16:creationId xmlns:a16="http://schemas.microsoft.com/office/drawing/2014/main" id="{00000000-0008-0000-0400-00009F100000}"/>
              </a:ext>
            </a:extLst>
          </xdr:cNvPr>
          <xdr:cNvSpPr>
            <a:spLocks noChangeAspect="1" noChangeShapeType="1"/>
          </xdr:cNvSpPr>
        </xdr:nvSpPr>
        <xdr:spPr bwMode="auto">
          <a:xfrm>
            <a:off x="1" y="29"/>
            <a:ext cx="86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31</xdr:col>
      <xdr:colOff>38100</xdr:colOff>
      <xdr:row>40</xdr:row>
      <xdr:rowOff>123825</xdr:rowOff>
    </xdr:from>
    <xdr:to>
      <xdr:col>42</xdr:col>
      <xdr:colOff>285750</xdr:colOff>
      <xdr:row>76</xdr:row>
      <xdr:rowOff>85725</xdr:rowOff>
    </xdr:to>
    <xdr:graphicFrame macro="">
      <xdr:nvGraphicFramePr>
        <xdr:cNvPr id="4253" name="Chart 13">
          <a:extLst>
            <a:ext uri="{FF2B5EF4-FFF2-40B4-BE49-F238E27FC236}">
              <a16:creationId xmlns:a16="http://schemas.microsoft.com/office/drawing/2014/main" id="{00000000-0008-0000-0400-00009D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304800</xdr:rowOff>
    </xdr:from>
    <xdr:to>
      <xdr:col>11</xdr:col>
      <xdr:colOff>447675</xdr:colOff>
      <xdr:row>49</xdr:row>
      <xdr:rowOff>104775</xdr:rowOff>
    </xdr:to>
    <xdr:graphicFrame macro="">
      <xdr:nvGraphicFramePr>
        <xdr:cNvPr id="5159" name="Chart 4">
          <a:extLst>
            <a:ext uri="{FF2B5EF4-FFF2-40B4-BE49-F238E27FC236}">
              <a16:creationId xmlns:a16="http://schemas.microsoft.com/office/drawing/2014/main" id="{00000000-0008-0000-0500-000027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13</xdr:row>
      <xdr:rowOff>314325</xdr:rowOff>
    </xdr:from>
    <xdr:to>
      <xdr:col>17</xdr:col>
      <xdr:colOff>276225</xdr:colOff>
      <xdr:row>49</xdr:row>
      <xdr:rowOff>104775</xdr:rowOff>
    </xdr:to>
    <xdr:graphicFrame macro="">
      <xdr:nvGraphicFramePr>
        <xdr:cNvPr id="6183" name="Chart 4">
          <a:extLst>
            <a:ext uri="{FF2B5EF4-FFF2-40B4-BE49-F238E27FC236}">
              <a16:creationId xmlns:a16="http://schemas.microsoft.com/office/drawing/2014/main" id="{00000000-0008-0000-0600-000027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O109"/>
  <sheetViews>
    <sheetView showGridLines="0" tabSelected="1" view="pageBreakPreview" topLeftCell="A58" zoomScaleNormal="100" zoomScaleSheetLayoutView="100" workbookViewId="0">
      <selection activeCell="BT67" sqref="BT67"/>
    </sheetView>
  </sheetViews>
  <sheetFormatPr defaultColWidth="11.42578125" defaultRowHeight="12.75" customHeight="1"/>
  <cols>
    <col min="1" max="1" width="3.140625" style="3" customWidth="1"/>
    <col min="2" max="2" width="0.85546875" style="3" customWidth="1"/>
    <col min="3" max="3" width="25.5703125" style="9" customWidth="1"/>
    <col min="4" max="4" width="6.42578125" style="5" hidden="1" customWidth="1"/>
    <col min="5" max="5" width="3" style="5" hidden="1" customWidth="1"/>
    <col min="6" max="6" width="6.42578125" style="5" hidden="1" customWidth="1"/>
    <col min="7" max="7" width="3" style="5" hidden="1" customWidth="1"/>
    <col min="8" max="8" width="6.42578125" style="5" hidden="1" customWidth="1"/>
    <col min="9" max="9" width="3" style="5" hidden="1" customWidth="1"/>
    <col min="10" max="10" width="6.42578125" style="5" hidden="1" customWidth="1"/>
    <col min="11" max="11" width="3" style="5" hidden="1" customWidth="1"/>
    <col min="12" max="12" width="6.42578125" style="5" hidden="1" customWidth="1"/>
    <col min="13" max="13" width="3" style="5" hidden="1" customWidth="1"/>
    <col min="14" max="14" width="6.42578125" style="5" hidden="1" customWidth="1"/>
    <col min="15" max="15" width="2.85546875" style="5" hidden="1" customWidth="1"/>
    <col min="16" max="16" width="6.42578125" style="5" hidden="1" customWidth="1"/>
    <col min="17" max="17" width="2.5703125" style="5" hidden="1" customWidth="1"/>
    <col min="18" max="18" width="6.42578125" style="5" hidden="1" customWidth="1"/>
    <col min="19" max="19" width="2.42578125" hidden="1" customWidth="1"/>
    <col min="20" max="20" width="6.42578125" style="5" hidden="1" customWidth="1"/>
    <col min="21" max="21" width="2.42578125" hidden="1" customWidth="1"/>
    <col min="22" max="22" width="6.42578125" style="5" hidden="1" customWidth="1"/>
    <col min="23" max="23" width="2.42578125" style="5" hidden="1" customWidth="1"/>
    <col min="24" max="24" width="6.42578125" style="5" hidden="1" customWidth="1"/>
    <col min="25" max="25" width="2.42578125" hidden="1" customWidth="1"/>
    <col min="26" max="26" width="6.42578125" style="5" hidden="1" customWidth="1"/>
    <col min="27" max="27" width="2.42578125" hidden="1" customWidth="1"/>
    <col min="28" max="28" width="6.42578125" style="5" hidden="1" customWidth="1"/>
    <col min="29" max="29" width="2.42578125" hidden="1" customWidth="1"/>
    <col min="30" max="30" width="6.42578125" style="5" hidden="1" customWidth="1"/>
    <col min="31" max="31" width="2.42578125" hidden="1" customWidth="1"/>
    <col min="32" max="32" width="6.42578125" style="5" hidden="1" customWidth="1"/>
    <col min="33" max="33" width="2.42578125" hidden="1" customWidth="1"/>
    <col min="34" max="34" width="6.42578125" style="5" hidden="1" customWidth="1"/>
    <col min="35" max="35" width="2.42578125" hidden="1" customWidth="1"/>
    <col min="36" max="36" width="12.42578125" style="5" hidden="1" customWidth="1"/>
    <col min="37" max="37" width="1.5703125" hidden="1" customWidth="1"/>
    <col min="38" max="38" width="6.42578125" style="5" hidden="1" customWidth="1"/>
    <col min="39" max="39" width="1.5703125" hidden="1" customWidth="1"/>
    <col min="40" max="40" width="6.42578125" style="5" hidden="1" customWidth="1"/>
    <col min="41" max="41" width="1.5703125" hidden="1" customWidth="1"/>
    <col min="42" max="42" width="6.42578125" style="5" hidden="1" customWidth="1"/>
    <col min="43" max="43" width="1.5703125" style="5" hidden="1" customWidth="1"/>
    <col min="44" max="44" width="6.42578125" style="5" hidden="1" customWidth="1"/>
    <col min="45" max="45" width="3.140625" hidden="1" customWidth="1"/>
    <col min="46" max="46" width="10.42578125" style="5" hidden="1" customWidth="1"/>
    <col min="47" max="47" width="3.140625" hidden="1" customWidth="1"/>
    <col min="48" max="48" width="14.42578125" style="5" hidden="1" customWidth="1"/>
    <col min="49" max="49" width="3.140625" hidden="1" customWidth="1"/>
    <col min="50" max="50" width="14.42578125" style="5" hidden="1" customWidth="1"/>
    <col min="51" max="51" width="3.140625" style="5" hidden="1" customWidth="1"/>
    <col min="52" max="52" width="16.140625" style="5" hidden="1" customWidth="1"/>
    <col min="53" max="53" width="3.140625" style="5" hidden="1" customWidth="1"/>
    <col min="54" max="54" width="16.140625" style="5" hidden="1" customWidth="1"/>
    <col min="55" max="55" width="3.140625" hidden="1" customWidth="1"/>
    <col min="56" max="56" width="16.140625" style="5" hidden="1" customWidth="1"/>
    <col min="57" max="57" width="3.140625" hidden="1" customWidth="1"/>
    <col min="58" max="58" width="16.140625" style="5" hidden="1" customWidth="1"/>
    <col min="59" max="59" width="3.140625" hidden="1" customWidth="1"/>
    <col min="60" max="60" width="16.140625" style="5" customWidth="1"/>
    <col min="61" max="61" width="3.140625" customWidth="1"/>
    <col min="62" max="62" width="16.140625" style="5" customWidth="1"/>
    <col min="63" max="63" width="3.140625" customWidth="1"/>
    <col min="64" max="64" width="16.140625" style="5" customWidth="1"/>
    <col min="65" max="65" width="3.140625" customWidth="1"/>
    <col min="66" max="66" width="16.140625" style="5" customWidth="1"/>
    <col min="67" max="67" width="3.140625" customWidth="1"/>
    <col min="68" max="68" width="16.140625" style="5" customWidth="1"/>
    <col min="69" max="69" width="3.140625" customWidth="1"/>
    <col min="70" max="70" width="6.5703125" customWidth="1"/>
    <col min="72" max="72" width="10.42578125" customWidth="1"/>
  </cols>
  <sheetData>
    <row r="1" spans="1:145" ht="15" customHeight="1">
      <c r="A1" s="3" t="s">
        <v>0</v>
      </c>
    </row>
    <row r="2" spans="1:145" ht="19.350000000000001" customHeight="1">
      <c r="A2" s="287" t="s">
        <v>102</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row>
    <row r="3" spans="1:145" ht="11.1" customHeight="1">
      <c r="A3" s="288" t="s">
        <v>91</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row>
    <row r="4" spans="1:145" ht="5.0999999999999996" customHeight="1">
      <c r="A4" s="17"/>
      <c r="B4" s="17"/>
      <c r="C4" s="4"/>
      <c r="D4" s="7"/>
      <c r="E4" s="7"/>
      <c r="F4" s="7"/>
      <c r="G4" s="7"/>
      <c r="H4" s="7"/>
      <c r="I4" s="7"/>
      <c r="J4" s="7"/>
      <c r="K4" s="7"/>
      <c r="L4" s="7"/>
      <c r="M4" s="7"/>
      <c r="N4" s="7"/>
      <c r="O4" s="7"/>
      <c r="P4" s="7"/>
      <c r="Q4" s="7"/>
      <c r="R4" s="7"/>
      <c r="S4" s="2"/>
      <c r="T4" s="7"/>
      <c r="U4" s="2"/>
      <c r="V4" s="7"/>
      <c r="W4" s="7"/>
      <c r="X4" s="7"/>
      <c r="Y4" s="2"/>
      <c r="Z4" s="18"/>
      <c r="AA4" s="2"/>
      <c r="AB4" s="18"/>
      <c r="AC4" s="2"/>
      <c r="AD4" s="18"/>
      <c r="AE4" s="2"/>
      <c r="AF4" s="18"/>
      <c r="AG4" s="2"/>
      <c r="AH4" s="18"/>
      <c r="AI4" s="2"/>
      <c r="AJ4" s="18"/>
      <c r="AK4" s="2"/>
      <c r="AL4" s="18"/>
      <c r="AM4" s="2"/>
      <c r="AN4" s="18"/>
      <c r="AO4" s="2"/>
      <c r="AP4" s="18"/>
      <c r="AQ4" s="18"/>
      <c r="AR4" s="18"/>
      <c r="AS4" s="2"/>
      <c r="AT4" s="18"/>
      <c r="AU4" s="2"/>
      <c r="AV4" s="18"/>
      <c r="AW4" s="2"/>
      <c r="AX4" s="18"/>
      <c r="AY4" s="18"/>
      <c r="AZ4" s="18"/>
      <c r="BA4" s="18"/>
      <c r="BB4" s="18"/>
      <c r="BD4" s="18"/>
      <c r="BF4" s="18"/>
      <c r="BH4" s="18"/>
      <c r="BJ4" s="18"/>
      <c r="BL4" s="18"/>
      <c r="BN4" s="18"/>
      <c r="BP4" s="18"/>
    </row>
    <row r="5" spans="1:145" ht="14.45" customHeight="1">
      <c r="A5" s="218" t="s">
        <v>1</v>
      </c>
      <c r="B5" s="219"/>
      <c r="C5" s="220"/>
      <c r="D5" s="221">
        <v>1992</v>
      </c>
      <c r="E5" s="221"/>
      <c r="F5" s="221">
        <v>1993</v>
      </c>
      <c r="G5" s="221"/>
      <c r="H5" s="221">
        <v>1994</v>
      </c>
      <c r="I5" s="221"/>
      <c r="J5" s="221">
        <v>1995</v>
      </c>
      <c r="K5" s="221"/>
      <c r="L5" s="221">
        <v>1996</v>
      </c>
      <c r="M5" s="221"/>
      <c r="N5" s="221">
        <v>1997</v>
      </c>
      <c r="O5" s="221"/>
      <c r="P5" s="221">
        <v>1998</v>
      </c>
      <c r="Q5" s="221"/>
      <c r="R5" s="221">
        <v>1999</v>
      </c>
      <c r="S5" s="222"/>
      <c r="T5" s="221">
        <v>2000</v>
      </c>
      <c r="U5" s="222"/>
      <c r="V5" s="221">
        <v>2001</v>
      </c>
      <c r="W5" s="221"/>
      <c r="X5" s="221">
        <v>2002</v>
      </c>
      <c r="Y5" s="222"/>
      <c r="Z5" s="221">
        <v>2003</v>
      </c>
      <c r="AA5" s="222"/>
      <c r="AB5" s="221">
        <v>2004</v>
      </c>
      <c r="AC5" s="222"/>
      <c r="AD5" s="221">
        <v>2005</v>
      </c>
      <c r="AE5" s="222"/>
      <c r="AF5" s="221">
        <v>2006</v>
      </c>
      <c r="AG5" s="222"/>
      <c r="AH5" s="221">
        <v>2007</v>
      </c>
      <c r="AI5" s="222"/>
      <c r="AJ5" s="223">
        <v>2008</v>
      </c>
      <c r="AK5" s="224"/>
      <c r="AL5" s="223">
        <v>2009</v>
      </c>
      <c r="AM5" s="224"/>
      <c r="AN5" s="223">
        <v>2010</v>
      </c>
      <c r="AO5" s="224"/>
      <c r="AP5" s="223">
        <v>2011</v>
      </c>
      <c r="AQ5" s="223"/>
      <c r="AR5" s="223">
        <v>2012</v>
      </c>
      <c r="AS5" s="224"/>
      <c r="AT5" s="221">
        <v>2013</v>
      </c>
      <c r="AU5" s="222"/>
      <c r="AV5" s="221" t="s">
        <v>90</v>
      </c>
      <c r="AW5" s="222"/>
      <c r="AX5" s="221">
        <v>2015</v>
      </c>
      <c r="AY5" s="221"/>
      <c r="AZ5" s="221">
        <v>2016</v>
      </c>
      <c r="BA5" s="221"/>
      <c r="BB5" s="221">
        <v>2017</v>
      </c>
      <c r="BC5" s="187"/>
      <c r="BD5" s="221">
        <v>2018</v>
      </c>
      <c r="BE5" s="187"/>
      <c r="BF5" s="221">
        <v>2019</v>
      </c>
      <c r="BG5" s="187"/>
      <c r="BH5" s="221">
        <v>2020</v>
      </c>
      <c r="BI5" s="187"/>
      <c r="BJ5" s="221">
        <v>2021</v>
      </c>
      <c r="BK5" s="187"/>
      <c r="BL5" s="221">
        <v>2022</v>
      </c>
      <c r="BM5" s="187"/>
      <c r="BN5" s="221">
        <v>2023</v>
      </c>
      <c r="BO5" s="187"/>
      <c r="BP5" s="221" t="s">
        <v>125</v>
      </c>
      <c r="BQ5" s="187"/>
    </row>
    <row r="6" spans="1:145" ht="12" customHeight="1">
      <c r="A6" s="289" t="s">
        <v>92</v>
      </c>
      <c r="B6" s="289"/>
      <c r="C6" s="289"/>
      <c r="D6" s="226">
        <v>27.8</v>
      </c>
      <c r="E6" s="226"/>
      <c r="F6" s="226">
        <v>28.4</v>
      </c>
      <c r="G6" s="226"/>
      <c r="H6" s="226">
        <v>29</v>
      </c>
      <c r="I6" s="226"/>
      <c r="J6" s="226">
        <v>27.9</v>
      </c>
      <c r="K6" s="226"/>
      <c r="L6" s="226">
        <v>28.3</v>
      </c>
      <c r="M6" s="226"/>
      <c r="N6" s="226">
        <v>27</v>
      </c>
      <c r="O6" s="226"/>
      <c r="P6" s="226">
        <v>26.7</v>
      </c>
      <c r="Q6" s="226"/>
      <c r="R6" s="226">
        <v>25.31548757170172</v>
      </c>
      <c r="S6" s="225"/>
      <c r="T6" s="226">
        <v>27.2</v>
      </c>
      <c r="U6" s="225"/>
      <c r="V6" s="226">
        <v>28.3</v>
      </c>
      <c r="W6" s="226"/>
      <c r="X6" s="226">
        <v>27.9</v>
      </c>
      <c r="Y6" s="225"/>
      <c r="Z6" s="226">
        <v>25.4</v>
      </c>
      <c r="AA6" s="225"/>
      <c r="AB6" s="226">
        <v>26.3</v>
      </c>
      <c r="AC6" s="225"/>
      <c r="AD6" s="226">
        <v>24.7</v>
      </c>
      <c r="AE6" s="225"/>
      <c r="AF6" s="226">
        <v>25.3</v>
      </c>
      <c r="AG6" s="225"/>
      <c r="AH6" s="226">
        <v>24.6</v>
      </c>
      <c r="AI6" s="225"/>
      <c r="AJ6" s="226">
        <v>26.7</v>
      </c>
      <c r="AK6" s="225"/>
      <c r="AL6" s="226">
        <v>27.7</v>
      </c>
      <c r="AM6" s="225"/>
      <c r="AN6" s="226">
        <v>30</v>
      </c>
      <c r="AO6" s="225"/>
      <c r="AP6" s="226">
        <v>29.6</v>
      </c>
      <c r="AQ6" s="226"/>
      <c r="AR6" s="227">
        <v>31.4</v>
      </c>
      <c r="AS6" s="228"/>
      <c r="AT6" s="227">
        <v>33.6</v>
      </c>
      <c r="AU6" s="228"/>
      <c r="AV6" s="227">
        <v>34.799999999999997</v>
      </c>
      <c r="AW6" s="228"/>
      <c r="AX6" s="227">
        <v>34.299999999999997</v>
      </c>
      <c r="AY6" s="227"/>
      <c r="AZ6" s="227">
        <v>35.299999999999997</v>
      </c>
      <c r="BA6" s="227"/>
      <c r="BB6" s="227">
        <v>34.1</v>
      </c>
      <c r="BD6" s="227">
        <v>33</v>
      </c>
      <c r="BF6" s="227">
        <v>31.3</v>
      </c>
      <c r="BH6" s="227">
        <v>28.9</v>
      </c>
      <c r="BJ6" s="227">
        <v>28.5</v>
      </c>
      <c r="BL6" s="227">
        <v>29</v>
      </c>
      <c r="BN6" s="227">
        <v>28.6</v>
      </c>
      <c r="BP6" s="227">
        <v>29.6</v>
      </c>
    </row>
    <row r="7" spans="1:145" s="251" customFormat="1" ht="12.95" customHeight="1">
      <c r="A7" s="249"/>
      <c r="B7" s="248" t="s">
        <v>2</v>
      </c>
      <c r="C7" s="249"/>
      <c r="D7" s="250">
        <v>31.1</v>
      </c>
      <c r="E7" s="250"/>
      <c r="F7" s="250">
        <v>32.299999999999997</v>
      </c>
      <c r="G7" s="250"/>
      <c r="H7" s="250">
        <v>33.5</v>
      </c>
      <c r="I7" s="250"/>
      <c r="J7" s="250">
        <v>32.5</v>
      </c>
      <c r="K7" s="250"/>
      <c r="L7" s="250">
        <v>32.5</v>
      </c>
      <c r="M7" s="250"/>
      <c r="N7" s="250">
        <v>31.5</v>
      </c>
      <c r="O7" s="250"/>
      <c r="P7" s="250">
        <v>31.4</v>
      </c>
      <c r="Q7" s="250"/>
      <c r="R7" s="250">
        <v>29.618138424821002</v>
      </c>
      <c r="S7" s="249"/>
      <c r="T7" s="250">
        <v>30.7</v>
      </c>
      <c r="U7" s="249"/>
      <c r="V7" s="250">
        <v>32.200000000000003</v>
      </c>
      <c r="W7" s="250"/>
      <c r="X7" s="250">
        <v>31.2</v>
      </c>
      <c r="Y7" s="249"/>
      <c r="Z7" s="250">
        <v>28.8</v>
      </c>
      <c r="AA7" s="249"/>
      <c r="AB7" s="250">
        <v>29.3</v>
      </c>
      <c r="AC7" s="249"/>
      <c r="AD7" s="250">
        <v>27.7</v>
      </c>
      <c r="AE7" s="249"/>
      <c r="AF7" s="250">
        <v>29.2</v>
      </c>
      <c r="AG7" s="249"/>
      <c r="AH7" s="250">
        <v>29.7</v>
      </c>
      <c r="AI7" s="249"/>
      <c r="AJ7" s="250">
        <v>31.8</v>
      </c>
      <c r="AK7" s="249"/>
      <c r="AL7" s="250">
        <v>32.9</v>
      </c>
      <c r="AM7" s="249"/>
      <c r="AN7" s="250">
        <v>35.6</v>
      </c>
      <c r="AO7" s="249"/>
      <c r="AP7" s="250">
        <v>35</v>
      </c>
      <c r="AQ7" s="250"/>
      <c r="AR7" s="250">
        <v>36.5</v>
      </c>
      <c r="AS7" s="249"/>
      <c r="AT7" s="250">
        <v>39.1</v>
      </c>
      <c r="AU7" s="249"/>
      <c r="AV7" s="250">
        <v>39.799999999999997</v>
      </c>
      <c r="AW7" s="249"/>
      <c r="AX7" s="250">
        <v>40.6</v>
      </c>
      <c r="AY7" s="250"/>
      <c r="AZ7" s="250">
        <v>40</v>
      </c>
      <c r="BA7" s="250"/>
      <c r="BB7" s="250">
        <v>40.1</v>
      </c>
      <c r="BD7" s="250">
        <v>38.299999999999997</v>
      </c>
      <c r="BF7" s="250">
        <v>36.4</v>
      </c>
      <c r="BH7" s="250">
        <v>33.799999999999997</v>
      </c>
      <c r="BJ7" s="250">
        <v>32.4</v>
      </c>
      <c r="BL7" s="250">
        <v>33.1</v>
      </c>
      <c r="BN7" s="250">
        <v>32.700000000000003</v>
      </c>
      <c r="BP7" s="250">
        <v>34</v>
      </c>
    </row>
    <row r="8" spans="1:145" s="171" customFormat="1" ht="12.6" customHeight="1">
      <c r="A8" s="232"/>
      <c r="B8" s="233"/>
      <c r="C8" s="234" t="s">
        <v>75</v>
      </c>
      <c r="D8" s="235"/>
      <c r="E8" s="236"/>
      <c r="F8" s="235"/>
      <c r="G8" s="236"/>
      <c r="H8" s="236"/>
      <c r="I8" s="236"/>
      <c r="J8" s="236"/>
      <c r="K8" s="236"/>
      <c r="L8" s="236"/>
      <c r="M8" s="236"/>
      <c r="N8" s="236"/>
      <c r="O8" s="236"/>
      <c r="P8" s="236"/>
      <c r="Q8" s="236"/>
      <c r="R8" s="236"/>
      <c r="S8" s="235"/>
      <c r="T8" s="236"/>
      <c r="U8" s="235"/>
      <c r="V8" s="236"/>
      <c r="W8" s="236"/>
      <c r="X8" s="236"/>
      <c r="Y8" s="235"/>
      <c r="Z8" s="236"/>
      <c r="AA8" s="235"/>
      <c r="AB8" s="236"/>
      <c r="AC8" s="235"/>
      <c r="AD8" s="236"/>
      <c r="AE8" s="235"/>
      <c r="AF8" s="236"/>
      <c r="AG8" s="235"/>
      <c r="AH8" s="236"/>
      <c r="AI8" s="235"/>
      <c r="AJ8" s="236"/>
      <c r="AK8" s="235"/>
      <c r="AL8" s="236"/>
      <c r="AM8" s="235"/>
      <c r="AN8" s="236"/>
      <c r="AO8" s="235"/>
      <c r="AP8" s="236"/>
      <c r="AQ8" s="236"/>
      <c r="AR8" s="236">
        <v>50.5</v>
      </c>
      <c r="AS8" s="235"/>
      <c r="AT8" s="236">
        <v>51.9</v>
      </c>
      <c r="AU8" s="236"/>
      <c r="AV8" s="236">
        <v>53.1</v>
      </c>
      <c r="AW8" s="235"/>
      <c r="AX8" s="236">
        <v>52.8</v>
      </c>
      <c r="AY8" s="236"/>
      <c r="AZ8" s="236">
        <v>52</v>
      </c>
      <c r="BA8" s="236"/>
      <c r="BB8" s="236">
        <v>54.3</v>
      </c>
      <c r="BC8" s="253"/>
      <c r="BD8" s="236">
        <v>48.2</v>
      </c>
      <c r="BE8" s="236"/>
      <c r="BF8" s="236">
        <v>48.6</v>
      </c>
      <c r="BG8" s="236"/>
      <c r="BH8" s="236">
        <v>41.8</v>
      </c>
      <c r="BI8" s="236"/>
      <c r="BJ8" s="236">
        <v>42</v>
      </c>
      <c r="BK8" s="236"/>
      <c r="BL8" s="236">
        <v>44</v>
      </c>
      <c r="BM8" s="236"/>
      <c r="BN8" s="236">
        <v>42.7</v>
      </c>
      <c r="BO8" s="236"/>
      <c r="BP8" s="236">
        <v>42.7</v>
      </c>
      <c r="BQ8" s="254"/>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row>
    <row r="9" spans="1:145" s="171" customFormat="1" ht="12.6" customHeight="1">
      <c r="A9" s="232"/>
      <c r="B9" s="233"/>
      <c r="C9" s="234" t="s">
        <v>76</v>
      </c>
      <c r="D9" s="235"/>
      <c r="E9" s="236"/>
      <c r="F9" s="235"/>
      <c r="G9" s="236"/>
      <c r="H9" s="236"/>
      <c r="I9" s="236"/>
      <c r="J9" s="236"/>
      <c r="K9" s="236"/>
      <c r="L9" s="236"/>
      <c r="M9" s="236"/>
      <c r="N9" s="236"/>
      <c r="O9" s="236"/>
      <c r="P9" s="236"/>
      <c r="Q9" s="236"/>
      <c r="R9" s="236"/>
      <c r="S9" s="235"/>
      <c r="T9" s="236"/>
      <c r="U9" s="235"/>
      <c r="V9" s="236"/>
      <c r="W9" s="236"/>
      <c r="X9" s="236"/>
      <c r="Y9" s="235"/>
      <c r="Z9" s="236"/>
      <c r="AA9" s="235"/>
      <c r="AB9" s="236"/>
      <c r="AC9" s="235"/>
      <c r="AD9" s="236"/>
      <c r="AE9" s="235"/>
      <c r="AF9" s="236"/>
      <c r="AG9" s="235"/>
      <c r="AH9" s="236"/>
      <c r="AI9" s="235"/>
      <c r="AJ9" s="236"/>
      <c r="AK9" s="235"/>
      <c r="AL9" s="236"/>
      <c r="AM9" s="235"/>
      <c r="AN9" s="236"/>
      <c r="AO9" s="235"/>
      <c r="AP9" s="236"/>
      <c r="AQ9" s="236"/>
      <c r="AR9" s="236">
        <v>27.2</v>
      </c>
      <c r="AS9" s="235"/>
      <c r="AT9" s="236">
        <v>29.6</v>
      </c>
      <c r="AU9" s="236"/>
      <c r="AV9" s="236">
        <v>30.8</v>
      </c>
      <c r="AW9" s="235"/>
      <c r="AX9" s="236">
        <v>31.5</v>
      </c>
      <c r="AY9" s="236"/>
      <c r="AZ9" s="236">
        <v>31.6</v>
      </c>
      <c r="BA9" s="236"/>
      <c r="BB9" s="236">
        <v>31.2</v>
      </c>
      <c r="BC9" s="253"/>
      <c r="BD9" s="236">
        <v>31.7</v>
      </c>
      <c r="BE9" s="253"/>
      <c r="BF9" s="236">
        <v>29.2</v>
      </c>
      <c r="BG9" s="253"/>
      <c r="BH9" s="236">
        <v>28.2</v>
      </c>
      <c r="BI9" s="253"/>
      <c r="BJ9" s="236">
        <v>26.3</v>
      </c>
      <c r="BK9" s="253"/>
      <c r="BL9" s="236">
        <v>26.3</v>
      </c>
      <c r="BM9" s="253"/>
      <c r="BN9" s="236">
        <v>26.4</v>
      </c>
      <c r="BO9" s="253"/>
      <c r="BP9" s="236">
        <v>26.1</v>
      </c>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row>
    <row r="10" spans="1:145" s="251" customFormat="1" ht="12.95" customHeight="1">
      <c r="A10" s="247"/>
      <c r="B10" s="248" t="s">
        <v>3</v>
      </c>
      <c r="C10" s="249"/>
      <c r="D10" s="250">
        <v>11.4</v>
      </c>
      <c r="E10" s="250"/>
      <c r="F10" s="250">
        <v>11.9</v>
      </c>
      <c r="G10" s="250"/>
      <c r="H10" s="250">
        <v>10.6</v>
      </c>
      <c r="I10" s="250"/>
      <c r="J10" s="250">
        <v>10.6</v>
      </c>
      <c r="K10" s="250"/>
      <c r="L10" s="250">
        <v>10.4</v>
      </c>
      <c r="M10" s="250"/>
      <c r="N10" s="250">
        <v>9.6</v>
      </c>
      <c r="O10" s="250"/>
      <c r="P10" s="250">
        <v>7.8</v>
      </c>
      <c r="Q10" s="250"/>
      <c r="R10" s="250">
        <v>7.9807692307692308</v>
      </c>
      <c r="S10" s="249"/>
      <c r="T10" s="250">
        <v>10</v>
      </c>
      <c r="U10" s="249"/>
      <c r="V10" s="250">
        <v>9.6999999999999993</v>
      </c>
      <c r="W10" s="250"/>
      <c r="X10" s="250">
        <v>9.8000000000000007</v>
      </c>
      <c r="Y10" s="249"/>
      <c r="Z10" s="250">
        <v>9.4</v>
      </c>
      <c r="AA10" s="249"/>
      <c r="AB10" s="250">
        <v>10</v>
      </c>
      <c r="AC10" s="249"/>
      <c r="AD10" s="250">
        <v>10.199999999999999</v>
      </c>
      <c r="AE10" s="249"/>
      <c r="AF10" s="250">
        <v>8.3000000000000007</v>
      </c>
      <c r="AG10" s="249"/>
      <c r="AH10" s="250">
        <v>7.5</v>
      </c>
      <c r="AI10" s="249"/>
      <c r="AJ10" s="250">
        <v>8.4</v>
      </c>
      <c r="AK10" s="249"/>
      <c r="AL10" s="250">
        <v>9.3000000000000007</v>
      </c>
      <c r="AM10" s="249"/>
      <c r="AN10" s="250">
        <v>9.3000000000000007</v>
      </c>
      <c r="AO10" s="249"/>
      <c r="AP10" s="250">
        <v>9.1999999999999993</v>
      </c>
      <c r="AQ10" s="250"/>
      <c r="AR10" s="250">
        <v>10</v>
      </c>
      <c r="AS10" s="249"/>
      <c r="AT10" s="250">
        <v>10.8</v>
      </c>
      <c r="AU10" s="249"/>
      <c r="AV10" s="250">
        <v>11.1</v>
      </c>
      <c r="AW10" s="249"/>
      <c r="AX10" s="250">
        <v>9.8000000000000007</v>
      </c>
      <c r="AY10" s="250"/>
      <c r="AZ10" s="250">
        <v>10.6</v>
      </c>
      <c r="BA10" s="250"/>
      <c r="BB10" s="250">
        <v>9.1999999999999993</v>
      </c>
      <c r="BC10" s="252"/>
      <c r="BD10" s="250">
        <v>9.1</v>
      </c>
      <c r="BE10" s="252"/>
      <c r="BF10" s="250">
        <v>8.6</v>
      </c>
      <c r="BG10" s="252"/>
      <c r="BH10" s="250">
        <v>7.1</v>
      </c>
      <c r="BI10" s="252"/>
      <c r="BJ10" s="250">
        <v>7.5</v>
      </c>
      <c r="BK10" s="252"/>
      <c r="BL10" s="250">
        <v>7.9</v>
      </c>
      <c r="BM10" s="252"/>
      <c r="BN10" s="250">
        <v>8.3000000000000007</v>
      </c>
      <c r="BO10" s="252"/>
      <c r="BP10" s="250">
        <v>8.9</v>
      </c>
      <c r="BQ10" s="252"/>
      <c r="BS10" s="255"/>
    </row>
    <row r="11" spans="1:145" ht="12" customHeight="1">
      <c r="A11" s="289" t="s">
        <v>93</v>
      </c>
      <c r="B11" s="289"/>
      <c r="C11" s="289"/>
      <c r="D11" s="226">
        <v>57.1</v>
      </c>
      <c r="E11" s="226"/>
      <c r="F11" s="226">
        <v>55.1</v>
      </c>
      <c r="G11" s="226"/>
      <c r="H11" s="226">
        <v>52.9</v>
      </c>
      <c r="I11" s="226"/>
      <c r="J11" s="226">
        <v>54.4</v>
      </c>
      <c r="K11" s="226"/>
      <c r="L11" s="226">
        <v>57.9</v>
      </c>
      <c r="M11" s="226"/>
      <c r="N11" s="226">
        <v>52.3</v>
      </c>
      <c r="O11" s="226"/>
      <c r="P11" s="226">
        <v>59.9</v>
      </c>
      <c r="Q11" s="226"/>
      <c r="R11" s="226">
        <v>57.116279069767444</v>
      </c>
      <c r="S11" s="225"/>
      <c r="T11" s="226">
        <v>65.3</v>
      </c>
      <c r="U11" s="225"/>
      <c r="V11" s="226">
        <v>63.6</v>
      </c>
      <c r="W11" s="226"/>
      <c r="X11" s="226">
        <v>61.2</v>
      </c>
      <c r="Y11" s="225"/>
      <c r="Z11" s="226">
        <v>61.9</v>
      </c>
      <c r="AA11" s="225"/>
      <c r="AB11" s="226">
        <v>61.2</v>
      </c>
      <c r="AC11" s="225"/>
      <c r="AD11" s="226">
        <v>60.5</v>
      </c>
      <c r="AE11" s="225"/>
      <c r="AF11" s="226">
        <v>57.8</v>
      </c>
      <c r="AG11" s="225"/>
      <c r="AH11" s="226">
        <v>58.1</v>
      </c>
      <c r="AI11" s="225"/>
      <c r="AJ11" s="226">
        <v>59.2</v>
      </c>
      <c r="AK11" s="225"/>
      <c r="AL11" s="226">
        <v>55.2</v>
      </c>
      <c r="AM11" s="225"/>
      <c r="AN11" s="226">
        <v>50.6</v>
      </c>
      <c r="AO11" s="225"/>
      <c r="AP11" s="226">
        <v>53</v>
      </c>
      <c r="AQ11" s="226"/>
      <c r="AR11" s="227">
        <v>51.7</v>
      </c>
      <c r="AS11" s="228"/>
      <c r="AT11" s="227">
        <v>52.1</v>
      </c>
      <c r="AU11" s="228"/>
      <c r="AV11" s="227">
        <v>50</v>
      </c>
      <c r="AW11" s="228"/>
      <c r="AX11" s="227">
        <v>49.9</v>
      </c>
      <c r="AY11" s="227"/>
      <c r="AZ11" s="227">
        <v>49.8</v>
      </c>
      <c r="BA11" s="227"/>
      <c r="BB11" s="227">
        <v>50.8</v>
      </c>
      <c r="BD11" s="227">
        <v>47.4</v>
      </c>
      <c r="BF11" s="227">
        <v>44.8</v>
      </c>
      <c r="BH11" s="227">
        <v>47</v>
      </c>
      <c r="BJ11" s="227">
        <v>43.5</v>
      </c>
      <c r="BL11" s="227">
        <v>39.299999999999997</v>
      </c>
      <c r="BN11" s="227">
        <v>40.700000000000003</v>
      </c>
      <c r="BP11" s="227">
        <v>44.7</v>
      </c>
    </row>
    <row r="12" spans="1:145" s="251" customFormat="1" ht="12.95" customHeight="1">
      <c r="A12" s="249"/>
      <c r="B12" s="248" t="s">
        <v>2</v>
      </c>
      <c r="C12" s="249"/>
      <c r="D12" s="250">
        <v>62.3</v>
      </c>
      <c r="E12" s="250"/>
      <c r="F12" s="250">
        <v>60.2</v>
      </c>
      <c r="G12" s="250"/>
      <c r="H12" s="250">
        <v>62.8</v>
      </c>
      <c r="I12" s="250"/>
      <c r="J12" s="250">
        <v>62.6</v>
      </c>
      <c r="K12" s="250"/>
      <c r="L12" s="250">
        <v>68.5</v>
      </c>
      <c r="M12" s="250"/>
      <c r="N12" s="250">
        <v>62.5</v>
      </c>
      <c r="O12" s="250"/>
      <c r="P12" s="250">
        <v>70.400000000000006</v>
      </c>
      <c r="Q12" s="250"/>
      <c r="R12" s="250">
        <v>68.115384615384613</v>
      </c>
      <c r="S12" s="249"/>
      <c r="T12" s="250">
        <v>77.2</v>
      </c>
      <c r="U12" s="249"/>
      <c r="V12" s="250">
        <v>77.099999999999994</v>
      </c>
      <c r="W12" s="250"/>
      <c r="X12" s="250">
        <v>73.3</v>
      </c>
      <c r="Y12" s="249"/>
      <c r="Z12" s="250">
        <v>74.5</v>
      </c>
      <c r="AA12" s="249"/>
      <c r="AB12" s="250">
        <v>72.3</v>
      </c>
      <c r="AC12" s="249"/>
      <c r="AD12" s="250">
        <v>68.099999999999994</v>
      </c>
      <c r="AE12" s="249"/>
      <c r="AF12" s="250">
        <v>66.900000000000006</v>
      </c>
      <c r="AG12" s="249"/>
      <c r="AH12" s="250">
        <v>66.599999999999994</v>
      </c>
      <c r="AI12" s="249"/>
      <c r="AJ12" s="250">
        <v>68.900000000000006</v>
      </c>
      <c r="AK12" s="249"/>
      <c r="AL12" s="250">
        <v>63.7</v>
      </c>
      <c r="AM12" s="249"/>
      <c r="AN12" s="250">
        <v>56.2</v>
      </c>
      <c r="AO12" s="249"/>
      <c r="AP12" s="250">
        <v>59.1</v>
      </c>
      <c r="AQ12" s="250"/>
      <c r="AR12" s="250">
        <v>57.8</v>
      </c>
      <c r="AS12" s="249"/>
      <c r="AT12" s="250">
        <v>56.6</v>
      </c>
      <c r="AU12" s="249"/>
      <c r="AV12" s="250">
        <v>53.8</v>
      </c>
      <c r="AW12" s="249"/>
      <c r="AX12" s="250">
        <v>54.7</v>
      </c>
      <c r="AY12" s="250"/>
      <c r="AZ12" s="250">
        <v>54.9</v>
      </c>
      <c r="BA12" s="250"/>
      <c r="BB12" s="250">
        <v>55.6</v>
      </c>
      <c r="BD12" s="250">
        <v>52.6</v>
      </c>
      <c r="BF12" s="250">
        <v>50.7</v>
      </c>
      <c r="BH12" s="250">
        <v>52</v>
      </c>
      <c r="BJ12" s="250">
        <v>49.1</v>
      </c>
      <c r="BL12" s="250">
        <v>43.4</v>
      </c>
      <c r="BN12" s="250">
        <v>46.1</v>
      </c>
      <c r="BP12" s="250">
        <v>50.4</v>
      </c>
    </row>
    <row r="13" spans="1:145" s="171" customFormat="1" ht="12.6" customHeight="1">
      <c r="A13" s="232"/>
      <c r="B13" s="233"/>
      <c r="C13" s="234" t="s">
        <v>75</v>
      </c>
      <c r="D13" s="235"/>
      <c r="E13" s="236"/>
      <c r="F13" s="235"/>
      <c r="G13" s="236"/>
      <c r="H13" s="236"/>
      <c r="I13" s="236"/>
      <c r="J13" s="236"/>
      <c r="K13" s="236"/>
      <c r="L13" s="236"/>
      <c r="M13" s="236"/>
      <c r="N13" s="236"/>
      <c r="O13" s="236"/>
      <c r="P13" s="236"/>
      <c r="Q13" s="236"/>
      <c r="R13" s="236"/>
      <c r="S13" s="235"/>
      <c r="T13" s="236"/>
      <c r="U13" s="235"/>
      <c r="V13" s="236"/>
      <c r="W13" s="236"/>
      <c r="X13" s="236"/>
      <c r="Y13" s="235"/>
      <c r="Z13" s="236"/>
      <c r="AA13" s="235"/>
      <c r="AB13" s="236"/>
      <c r="AC13" s="235"/>
      <c r="AD13" s="236"/>
      <c r="AE13" s="235"/>
      <c r="AF13" s="236"/>
      <c r="AG13" s="235"/>
      <c r="AH13" s="236"/>
      <c r="AI13" s="235"/>
      <c r="AJ13" s="236"/>
      <c r="AK13" s="235"/>
      <c r="AL13" s="236"/>
      <c r="AM13" s="235"/>
      <c r="AN13" s="236"/>
      <c r="AO13" s="235"/>
      <c r="AP13" s="236"/>
      <c r="AQ13" s="236"/>
      <c r="AR13" s="236">
        <v>94.5</v>
      </c>
      <c r="AS13" s="235"/>
      <c r="AT13" s="236">
        <v>81.599999999999994</v>
      </c>
      <c r="AU13" s="236"/>
      <c r="AV13" s="236">
        <v>76.7</v>
      </c>
      <c r="AW13" s="235"/>
      <c r="AX13" s="236">
        <v>83.2</v>
      </c>
      <c r="AY13" s="236"/>
      <c r="AZ13" s="236">
        <v>80.3</v>
      </c>
      <c r="BA13" s="236"/>
      <c r="BB13" s="236">
        <v>82.3</v>
      </c>
      <c r="BC13" s="253"/>
      <c r="BD13" s="236">
        <v>75.400000000000006</v>
      </c>
      <c r="BE13" s="253"/>
      <c r="BF13" s="236">
        <v>74.8</v>
      </c>
      <c r="BG13" s="253"/>
      <c r="BH13" s="236">
        <v>72.099999999999994</v>
      </c>
      <c r="BI13" s="253"/>
      <c r="BJ13" s="236">
        <v>80</v>
      </c>
      <c r="BK13" s="253"/>
      <c r="BL13" s="236">
        <v>69.3</v>
      </c>
      <c r="BM13" s="253"/>
      <c r="BN13" s="236">
        <v>68.5</v>
      </c>
      <c r="BO13" s="253"/>
      <c r="BP13" s="236">
        <v>76.3</v>
      </c>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row>
    <row r="14" spans="1:145" s="171" customFormat="1" ht="12.6" customHeight="1">
      <c r="A14" s="232"/>
      <c r="B14" s="233"/>
      <c r="C14" s="234" t="s">
        <v>76</v>
      </c>
      <c r="D14" s="235"/>
      <c r="E14" s="236"/>
      <c r="F14" s="235"/>
      <c r="G14" s="236"/>
      <c r="H14" s="236"/>
      <c r="I14" s="236"/>
      <c r="J14" s="236"/>
      <c r="K14" s="236"/>
      <c r="L14" s="236"/>
      <c r="M14" s="236"/>
      <c r="N14" s="236"/>
      <c r="O14" s="236"/>
      <c r="P14" s="236"/>
      <c r="Q14" s="236"/>
      <c r="R14" s="236"/>
      <c r="S14" s="235"/>
      <c r="T14" s="236"/>
      <c r="U14" s="235"/>
      <c r="V14" s="236"/>
      <c r="W14" s="236"/>
      <c r="X14" s="236"/>
      <c r="Y14" s="235"/>
      <c r="Z14" s="236"/>
      <c r="AA14" s="235"/>
      <c r="AB14" s="236"/>
      <c r="AC14" s="235"/>
      <c r="AD14" s="236"/>
      <c r="AE14" s="235"/>
      <c r="AF14" s="236"/>
      <c r="AG14" s="235"/>
      <c r="AH14" s="236"/>
      <c r="AI14" s="235"/>
      <c r="AJ14" s="236"/>
      <c r="AK14" s="235"/>
      <c r="AL14" s="236"/>
      <c r="AM14" s="235"/>
      <c r="AN14" s="236"/>
      <c r="AO14" s="235"/>
      <c r="AP14" s="236"/>
      <c r="AQ14" s="236"/>
      <c r="AR14" s="236">
        <v>45.1</v>
      </c>
      <c r="AS14" s="235"/>
      <c r="AT14" s="236">
        <v>46.2</v>
      </c>
      <c r="AU14" s="236"/>
      <c r="AV14" s="236">
        <v>45.9</v>
      </c>
      <c r="AW14" s="235"/>
      <c r="AX14" s="236">
        <v>45.4</v>
      </c>
      <c r="AY14" s="236"/>
      <c r="AZ14" s="236">
        <v>46.8</v>
      </c>
      <c r="BA14" s="236"/>
      <c r="BB14" s="236">
        <v>47.4</v>
      </c>
      <c r="BC14" s="253"/>
      <c r="BD14" s="236">
        <v>45.8</v>
      </c>
      <c r="BE14" s="253"/>
      <c r="BF14" s="236">
        <v>43.8</v>
      </c>
      <c r="BG14" s="253"/>
      <c r="BH14" s="236">
        <v>46.1</v>
      </c>
      <c r="BI14" s="253"/>
      <c r="BJ14" s="236">
        <v>42.5</v>
      </c>
      <c r="BK14" s="253"/>
      <c r="BL14" s="236">
        <v>38</v>
      </c>
      <c r="BM14" s="253"/>
      <c r="BN14" s="236">
        <v>41.3</v>
      </c>
      <c r="BO14" s="253"/>
      <c r="BP14" s="236">
        <v>45.2</v>
      </c>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row>
    <row r="15" spans="1:145" s="251" customFormat="1" ht="12.95" customHeight="1">
      <c r="A15" s="247"/>
      <c r="B15" s="248" t="s">
        <v>3</v>
      </c>
      <c r="C15" s="249"/>
      <c r="D15" s="250">
        <v>31.3</v>
      </c>
      <c r="E15" s="250"/>
      <c r="F15" s="250">
        <v>33.799999999999997</v>
      </c>
      <c r="G15" s="250"/>
      <c r="H15" s="250">
        <v>24</v>
      </c>
      <c r="I15" s="250"/>
      <c r="J15" s="250">
        <v>30.1</v>
      </c>
      <c r="K15" s="250"/>
      <c r="L15" s="250">
        <v>28.4</v>
      </c>
      <c r="M15" s="250"/>
      <c r="N15" s="250">
        <v>23.6</v>
      </c>
      <c r="O15" s="250"/>
      <c r="P15" s="250">
        <v>27.2</v>
      </c>
      <c r="Q15" s="250"/>
      <c r="R15" s="250">
        <v>23.071428571428573</v>
      </c>
      <c r="S15" s="249"/>
      <c r="T15" s="250">
        <v>26.1</v>
      </c>
      <c r="U15" s="249"/>
      <c r="V15" s="250">
        <v>22.6</v>
      </c>
      <c r="W15" s="250"/>
      <c r="X15" s="250">
        <v>22.3</v>
      </c>
      <c r="Y15" s="249"/>
      <c r="Z15" s="250">
        <v>23.3</v>
      </c>
      <c r="AA15" s="249"/>
      <c r="AB15" s="250">
        <v>19.399999999999999</v>
      </c>
      <c r="AC15" s="249"/>
      <c r="AD15" s="250">
        <v>23.1</v>
      </c>
      <c r="AE15" s="249"/>
      <c r="AF15" s="250">
        <v>20.3</v>
      </c>
      <c r="AG15" s="249"/>
      <c r="AH15" s="250">
        <v>25.4</v>
      </c>
      <c r="AI15" s="249"/>
      <c r="AJ15" s="250">
        <v>23.3</v>
      </c>
      <c r="AK15" s="249"/>
      <c r="AL15" s="250">
        <v>22.8</v>
      </c>
      <c r="AM15" s="249"/>
      <c r="AN15" s="250">
        <v>21.7</v>
      </c>
      <c r="AO15" s="249"/>
      <c r="AP15" s="250">
        <v>20.7</v>
      </c>
      <c r="AQ15" s="250"/>
      <c r="AR15" s="250">
        <v>17.3</v>
      </c>
      <c r="AS15" s="249"/>
      <c r="AT15" s="250">
        <v>20</v>
      </c>
      <c r="AU15" s="249"/>
      <c r="AV15" s="250">
        <v>24.3</v>
      </c>
      <c r="AW15" s="249"/>
      <c r="AX15" s="250">
        <v>21.8</v>
      </c>
      <c r="AY15" s="250"/>
      <c r="AZ15" s="250">
        <v>19.7</v>
      </c>
      <c r="BA15" s="250"/>
      <c r="BB15" s="250">
        <v>19.899999999999999</v>
      </c>
      <c r="BC15" s="252"/>
      <c r="BD15" s="250">
        <v>17.600000000000001</v>
      </c>
      <c r="BE15" s="252"/>
      <c r="BF15" s="250">
        <v>15.3</v>
      </c>
      <c r="BG15" s="252"/>
      <c r="BH15" s="250">
        <v>21.1</v>
      </c>
      <c r="BI15" s="252"/>
      <c r="BJ15" s="250">
        <v>17.8</v>
      </c>
      <c r="BK15" s="252"/>
      <c r="BL15" s="250">
        <v>18.2</v>
      </c>
      <c r="BM15" s="252"/>
      <c r="BN15" s="250">
        <v>17</v>
      </c>
      <c r="BO15" s="252"/>
      <c r="BP15" s="250">
        <v>18.7</v>
      </c>
      <c r="BQ15" s="252"/>
    </row>
    <row r="16" spans="1:145" ht="12" customHeight="1">
      <c r="A16" s="289" t="s">
        <v>94</v>
      </c>
      <c r="B16" s="289"/>
      <c r="C16" s="289"/>
      <c r="D16" s="226">
        <v>26</v>
      </c>
      <c r="E16" s="226"/>
      <c r="F16" s="226">
        <v>24.8</v>
      </c>
      <c r="G16" s="226"/>
      <c r="H16" s="226">
        <v>24.7</v>
      </c>
      <c r="I16" s="226"/>
      <c r="J16" s="226">
        <v>25.7</v>
      </c>
      <c r="K16" s="226"/>
      <c r="L16" s="226">
        <v>24.1</v>
      </c>
      <c r="M16" s="226"/>
      <c r="N16" s="226">
        <v>24.9</v>
      </c>
      <c r="O16" s="226"/>
      <c r="P16" s="226">
        <v>25.1</v>
      </c>
      <c r="Q16" s="226"/>
      <c r="R16" s="226">
        <v>21.981481481481481</v>
      </c>
      <c r="S16" s="225"/>
      <c r="T16" s="226">
        <v>24.1</v>
      </c>
      <c r="U16" s="225"/>
      <c r="V16" s="226">
        <v>21.7</v>
      </c>
      <c r="W16" s="226"/>
      <c r="X16" s="226">
        <v>21.8</v>
      </c>
      <c r="Y16" s="225"/>
      <c r="Z16" s="226">
        <v>23.3</v>
      </c>
      <c r="AA16" s="225"/>
      <c r="AB16" s="226">
        <v>24.8</v>
      </c>
      <c r="AC16" s="225"/>
      <c r="AD16" s="226">
        <v>24.6</v>
      </c>
      <c r="AE16" s="225"/>
      <c r="AF16" s="226">
        <v>24</v>
      </c>
      <c r="AG16" s="225"/>
      <c r="AH16" s="226">
        <v>23.7</v>
      </c>
      <c r="AI16" s="225"/>
      <c r="AJ16" s="226">
        <v>23.6</v>
      </c>
      <c r="AK16" s="225"/>
      <c r="AL16" s="226">
        <v>26.3</v>
      </c>
      <c r="AM16" s="225"/>
      <c r="AN16" s="226">
        <v>26</v>
      </c>
      <c r="AO16" s="225"/>
      <c r="AP16" s="226">
        <v>24.9</v>
      </c>
      <c r="AQ16" s="226"/>
      <c r="AR16" s="227">
        <v>24.1</v>
      </c>
      <c r="AS16" s="228"/>
      <c r="AT16" s="227">
        <v>25.5</v>
      </c>
      <c r="AU16" s="228"/>
      <c r="AV16" s="227">
        <v>26.8</v>
      </c>
      <c r="AW16" s="228"/>
      <c r="AX16" s="227">
        <v>24.7</v>
      </c>
      <c r="AY16" s="227"/>
      <c r="AZ16" s="227">
        <v>24.1</v>
      </c>
      <c r="BA16" s="227"/>
      <c r="BB16" s="227">
        <v>24.7</v>
      </c>
      <c r="BD16" s="227">
        <v>23.7</v>
      </c>
      <c r="BF16" s="227">
        <v>24.9</v>
      </c>
      <c r="BH16" s="227">
        <v>23.1</v>
      </c>
      <c r="BJ16" s="227">
        <v>25.1</v>
      </c>
      <c r="BL16" s="227">
        <v>26.3</v>
      </c>
      <c r="BN16" s="227">
        <v>29.5</v>
      </c>
      <c r="BP16" s="227">
        <v>27.8</v>
      </c>
    </row>
    <row r="17" spans="1:145" s="251" customFormat="1" ht="12.95" customHeight="1">
      <c r="A17" s="249"/>
      <c r="B17" s="248" t="s">
        <v>2</v>
      </c>
      <c r="C17" s="249"/>
      <c r="D17" s="250">
        <v>28.9</v>
      </c>
      <c r="E17" s="250"/>
      <c r="F17" s="250">
        <v>27.2</v>
      </c>
      <c r="G17" s="250"/>
      <c r="H17" s="250">
        <v>27.7</v>
      </c>
      <c r="I17" s="250"/>
      <c r="J17" s="250">
        <v>28.2</v>
      </c>
      <c r="K17" s="250"/>
      <c r="L17" s="250">
        <v>26.8</v>
      </c>
      <c r="M17" s="250"/>
      <c r="N17" s="250">
        <v>27.5</v>
      </c>
      <c r="O17" s="250"/>
      <c r="P17" s="250">
        <v>27</v>
      </c>
      <c r="Q17" s="250"/>
      <c r="R17" s="250">
        <v>23.433898305084746</v>
      </c>
      <c r="S17" s="249"/>
      <c r="T17" s="250">
        <v>25.8</v>
      </c>
      <c r="U17" s="249"/>
      <c r="V17" s="250">
        <v>23.3</v>
      </c>
      <c r="W17" s="250"/>
      <c r="X17" s="250">
        <v>23.2</v>
      </c>
      <c r="Y17" s="249"/>
      <c r="Z17" s="250">
        <v>24.7</v>
      </c>
      <c r="AA17" s="249"/>
      <c r="AB17" s="250">
        <v>26.4</v>
      </c>
      <c r="AC17" s="249"/>
      <c r="AD17" s="250">
        <v>26.7</v>
      </c>
      <c r="AE17" s="249"/>
      <c r="AF17" s="250">
        <v>26</v>
      </c>
      <c r="AG17" s="249"/>
      <c r="AH17" s="250">
        <v>27.6</v>
      </c>
      <c r="AI17" s="249"/>
      <c r="AJ17" s="250">
        <v>27.4</v>
      </c>
      <c r="AK17" s="249"/>
      <c r="AL17" s="250">
        <v>31</v>
      </c>
      <c r="AM17" s="249"/>
      <c r="AN17" s="250">
        <v>30.7</v>
      </c>
      <c r="AO17" s="249"/>
      <c r="AP17" s="250">
        <v>29.5</v>
      </c>
      <c r="AQ17" s="250"/>
      <c r="AR17" s="250">
        <v>28.6</v>
      </c>
      <c r="AS17" s="249"/>
      <c r="AT17" s="250">
        <v>30.4</v>
      </c>
      <c r="AU17" s="249"/>
      <c r="AV17" s="250">
        <v>32.4</v>
      </c>
      <c r="AW17" s="249"/>
      <c r="AX17" s="250">
        <v>29.7</v>
      </c>
      <c r="AY17" s="250"/>
      <c r="AZ17" s="250">
        <v>29.3</v>
      </c>
      <c r="BA17" s="250"/>
      <c r="BB17" s="250">
        <v>29.2</v>
      </c>
      <c r="BD17" s="250">
        <v>28.5</v>
      </c>
      <c r="BF17" s="250">
        <v>30.5</v>
      </c>
      <c r="BH17" s="250">
        <v>28</v>
      </c>
      <c r="BJ17" s="250">
        <v>29.6</v>
      </c>
      <c r="BL17" s="250">
        <v>30.9</v>
      </c>
      <c r="BN17" s="250">
        <v>34.5</v>
      </c>
      <c r="BP17" s="250">
        <v>32.799999999999997</v>
      </c>
    </row>
    <row r="18" spans="1:145" s="171" customFormat="1" ht="12.6" customHeight="1">
      <c r="A18" s="232"/>
      <c r="B18" s="233"/>
      <c r="C18" s="234" t="s">
        <v>75</v>
      </c>
      <c r="D18" s="235"/>
      <c r="E18" s="236"/>
      <c r="F18" s="235"/>
      <c r="G18" s="236"/>
      <c r="H18" s="236"/>
      <c r="I18" s="236"/>
      <c r="J18" s="236"/>
      <c r="K18" s="236"/>
      <c r="L18" s="236"/>
      <c r="M18" s="236"/>
      <c r="N18" s="236"/>
      <c r="O18" s="236"/>
      <c r="P18" s="236"/>
      <c r="Q18" s="236"/>
      <c r="R18" s="236"/>
      <c r="S18" s="235"/>
      <c r="T18" s="236"/>
      <c r="U18" s="235"/>
      <c r="V18" s="236"/>
      <c r="W18" s="236"/>
      <c r="X18" s="236"/>
      <c r="Y18" s="235"/>
      <c r="Z18" s="236"/>
      <c r="AA18" s="235"/>
      <c r="AB18" s="236"/>
      <c r="AC18" s="235"/>
      <c r="AD18" s="236"/>
      <c r="AE18" s="235"/>
      <c r="AF18" s="236"/>
      <c r="AG18" s="235"/>
      <c r="AH18" s="236"/>
      <c r="AI18" s="235"/>
      <c r="AJ18" s="236"/>
      <c r="AK18" s="235"/>
      <c r="AL18" s="236"/>
      <c r="AM18" s="235"/>
      <c r="AN18" s="236"/>
      <c r="AO18" s="235"/>
      <c r="AP18" s="236"/>
      <c r="AQ18" s="236"/>
      <c r="AR18" s="236">
        <v>37</v>
      </c>
      <c r="AS18" s="235"/>
      <c r="AT18" s="236">
        <v>39.6</v>
      </c>
      <c r="AU18" s="236"/>
      <c r="AV18" s="236">
        <v>40.700000000000003</v>
      </c>
      <c r="AW18" s="235"/>
      <c r="AX18" s="236">
        <v>36.299999999999997</v>
      </c>
      <c r="AY18" s="236"/>
      <c r="AZ18" s="236">
        <v>35.200000000000003</v>
      </c>
      <c r="BA18" s="236"/>
      <c r="BB18" s="236">
        <v>34.5</v>
      </c>
      <c r="BC18" s="253"/>
      <c r="BD18" s="236">
        <v>32.6</v>
      </c>
      <c r="BE18" s="253"/>
      <c r="BF18" s="236">
        <v>35.1</v>
      </c>
      <c r="BG18" s="253"/>
      <c r="BH18" s="236">
        <v>31.3</v>
      </c>
      <c r="BI18" s="253"/>
      <c r="BJ18" s="236">
        <v>34.4</v>
      </c>
      <c r="BK18" s="253"/>
      <c r="BL18" s="236">
        <v>36.5</v>
      </c>
      <c r="BM18" s="253"/>
      <c r="BN18" s="236">
        <v>41.9</v>
      </c>
      <c r="BO18" s="253"/>
      <c r="BP18" s="236">
        <v>37.200000000000003</v>
      </c>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row>
    <row r="19" spans="1:145" s="171" customFormat="1" ht="12.6" customHeight="1">
      <c r="A19" s="232"/>
      <c r="B19" s="233"/>
      <c r="C19" s="234" t="s">
        <v>76</v>
      </c>
      <c r="D19" s="235"/>
      <c r="E19" s="236"/>
      <c r="F19" s="235"/>
      <c r="G19" s="236"/>
      <c r="H19" s="236"/>
      <c r="I19" s="236"/>
      <c r="J19" s="236"/>
      <c r="K19" s="236"/>
      <c r="L19" s="236"/>
      <c r="M19" s="236"/>
      <c r="N19" s="236"/>
      <c r="O19" s="236"/>
      <c r="P19" s="236"/>
      <c r="Q19" s="236"/>
      <c r="R19" s="236"/>
      <c r="S19" s="235"/>
      <c r="T19" s="236"/>
      <c r="U19" s="235"/>
      <c r="V19" s="236"/>
      <c r="W19" s="236"/>
      <c r="X19" s="236"/>
      <c r="Y19" s="235"/>
      <c r="Z19" s="236"/>
      <c r="AA19" s="235"/>
      <c r="AB19" s="236"/>
      <c r="AC19" s="235"/>
      <c r="AD19" s="236"/>
      <c r="AE19" s="235"/>
      <c r="AF19" s="236"/>
      <c r="AG19" s="235"/>
      <c r="AH19" s="236"/>
      <c r="AI19" s="235"/>
      <c r="AJ19" s="236"/>
      <c r="AK19" s="235"/>
      <c r="AL19" s="236"/>
      <c r="AM19" s="235"/>
      <c r="AN19" s="236"/>
      <c r="AO19" s="235"/>
      <c r="AP19" s="236"/>
      <c r="AQ19" s="236"/>
      <c r="AR19" s="236">
        <v>21.2</v>
      </c>
      <c r="AS19" s="235"/>
      <c r="AT19" s="236">
        <v>22.6</v>
      </c>
      <c r="AU19" s="236"/>
      <c r="AV19" s="236">
        <v>25.5</v>
      </c>
      <c r="AW19" s="235"/>
      <c r="AX19" s="236">
        <v>23.5</v>
      </c>
      <c r="AY19" s="236"/>
      <c r="AZ19" s="236">
        <v>23.3</v>
      </c>
      <c r="BA19" s="236"/>
      <c r="BB19" s="236">
        <v>23.9</v>
      </c>
      <c r="BC19" s="253"/>
      <c r="BD19" s="236">
        <v>24.1</v>
      </c>
      <c r="BE19" s="253"/>
      <c r="BF19" s="236">
        <v>25.6</v>
      </c>
      <c r="BG19" s="253"/>
      <c r="BH19" s="236">
        <v>24.3</v>
      </c>
      <c r="BI19" s="253"/>
      <c r="BJ19" s="236">
        <v>24.6</v>
      </c>
      <c r="BK19" s="253"/>
      <c r="BL19" s="236">
        <v>25</v>
      </c>
      <c r="BM19" s="253"/>
      <c r="BN19" s="236">
        <v>27.5</v>
      </c>
      <c r="BO19" s="253"/>
      <c r="BP19" s="236">
        <v>28.3</v>
      </c>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row>
    <row r="20" spans="1:145" s="251" customFormat="1" ht="12.95" customHeight="1">
      <c r="A20" s="247"/>
      <c r="B20" s="248" t="s">
        <v>3</v>
      </c>
      <c r="C20" s="249"/>
      <c r="D20" s="250">
        <v>7.5</v>
      </c>
      <c r="E20" s="250"/>
      <c r="F20" s="250">
        <v>9.1999999999999993</v>
      </c>
      <c r="G20" s="250"/>
      <c r="H20" s="250">
        <v>8.4</v>
      </c>
      <c r="I20" s="250"/>
      <c r="J20" s="250">
        <v>9.4</v>
      </c>
      <c r="K20" s="250"/>
      <c r="L20" s="250">
        <v>8</v>
      </c>
      <c r="M20" s="250"/>
      <c r="N20" s="250">
        <v>7.6</v>
      </c>
      <c r="O20" s="250"/>
      <c r="P20" s="250">
        <v>7.7</v>
      </c>
      <c r="Q20" s="250"/>
      <c r="R20" s="250">
        <v>7.2068965517241379</v>
      </c>
      <c r="S20" s="249"/>
      <c r="T20" s="250">
        <v>8.8000000000000007</v>
      </c>
      <c r="U20" s="249"/>
      <c r="V20" s="250">
        <v>8.5</v>
      </c>
      <c r="W20" s="250"/>
      <c r="X20" s="250">
        <v>9.4</v>
      </c>
      <c r="Y20" s="249"/>
      <c r="Z20" s="250">
        <v>10.5</v>
      </c>
      <c r="AA20" s="249"/>
      <c r="AB20" s="250">
        <v>12.6</v>
      </c>
      <c r="AC20" s="249"/>
      <c r="AD20" s="250">
        <v>10.9</v>
      </c>
      <c r="AE20" s="249"/>
      <c r="AF20" s="250">
        <v>11.3</v>
      </c>
      <c r="AG20" s="249"/>
      <c r="AH20" s="250">
        <v>8</v>
      </c>
      <c r="AI20" s="249"/>
      <c r="AJ20" s="250">
        <v>8.1</v>
      </c>
      <c r="AK20" s="249"/>
      <c r="AL20" s="250">
        <v>8.6999999999999993</v>
      </c>
      <c r="AM20" s="249"/>
      <c r="AN20" s="250">
        <v>9.1</v>
      </c>
      <c r="AO20" s="249"/>
      <c r="AP20" s="250">
        <v>8.3000000000000007</v>
      </c>
      <c r="AQ20" s="250"/>
      <c r="AR20" s="250">
        <v>8.1</v>
      </c>
      <c r="AS20" s="249"/>
      <c r="AT20" s="250">
        <v>9</v>
      </c>
      <c r="AU20" s="249"/>
      <c r="AV20" s="250">
        <v>10.5</v>
      </c>
      <c r="AW20" s="249"/>
      <c r="AX20" s="250">
        <v>9.6999999999999993</v>
      </c>
      <c r="AY20" s="250"/>
      <c r="AZ20" s="250">
        <v>8.5</v>
      </c>
      <c r="BA20" s="250"/>
      <c r="BB20" s="250">
        <v>9.6999999999999993</v>
      </c>
      <c r="BC20" s="252"/>
      <c r="BD20" s="250">
        <v>9.1</v>
      </c>
      <c r="BE20" s="252"/>
      <c r="BF20" s="250">
        <v>9</v>
      </c>
      <c r="BG20" s="252"/>
      <c r="BH20" s="250">
        <v>7.7</v>
      </c>
      <c r="BI20" s="252"/>
      <c r="BJ20" s="250">
        <v>9.1999999999999993</v>
      </c>
      <c r="BK20" s="252"/>
      <c r="BL20" s="250">
        <v>9.1</v>
      </c>
      <c r="BM20" s="252"/>
      <c r="BN20" s="250">
        <v>11.5</v>
      </c>
      <c r="BO20" s="252"/>
      <c r="BP20" s="250">
        <v>10</v>
      </c>
      <c r="BQ20" s="252"/>
    </row>
    <row r="21" spans="1:145" s="172" customFormat="1" ht="12.75" hidden="1" customHeight="1">
      <c r="A21" s="241" t="s">
        <v>18</v>
      </c>
      <c r="B21" s="162"/>
      <c r="C21" s="242"/>
      <c r="D21" s="243">
        <v>22.1</v>
      </c>
      <c r="E21" s="243"/>
      <c r="F21" s="243">
        <v>22.6</v>
      </c>
      <c r="G21" s="243"/>
      <c r="H21" s="243">
        <v>22.2</v>
      </c>
      <c r="I21" s="243"/>
      <c r="J21" s="243">
        <v>22.1</v>
      </c>
      <c r="K21" s="243"/>
      <c r="L21" s="243">
        <v>22.5</v>
      </c>
      <c r="M21" s="243"/>
      <c r="N21" s="243">
        <v>24.4</v>
      </c>
      <c r="O21" s="243"/>
      <c r="P21" s="243">
        <v>22.4</v>
      </c>
      <c r="Q21" s="243"/>
      <c r="R21" s="243">
        <v>22.926470588235293</v>
      </c>
      <c r="S21" s="242"/>
      <c r="T21" s="243">
        <v>22.8</v>
      </c>
      <c r="U21" s="242"/>
      <c r="V21" s="243">
        <v>25.2</v>
      </c>
      <c r="W21" s="243"/>
      <c r="X21" s="243">
        <v>26.8</v>
      </c>
      <c r="Y21" s="242"/>
      <c r="Z21" s="243">
        <v>26.4</v>
      </c>
      <c r="AA21" s="242"/>
      <c r="AB21" s="243">
        <v>24.8</v>
      </c>
      <c r="AC21" s="242"/>
      <c r="AD21" s="243" t="s">
        <v>0</v>
      </c>
      <c r="AE21" s="242"/>
      <c r="AF21" s="243" t="s">
        <v>0</v>
      </c>
      <c r="AG21" s="242"/>
      <c r="AH21" s="243" t="s">
        <v>0</v>
      </c>
      <c r="AI21" s="242"/>
      <c r="AJ21" s="243" t="s">
        <v>0</v>
      </c>
      <c r="AK21" s="242"/>
      <c r="AL21" s="243" t="s">
        <v>0</v>
      </c>
      <c r="AM21" s="242"/>
      <c r="AN21" s="243" t="s">
        <v>0</v>
      </c>
      <c r="AO21" s="242"/>
      <c r="AP21" s="243" t="s">
        <v>0</v>
      </c>
      <c r="AQ21" s="243"/>
      <c r="AR21" s="243"/>
      <c r="AS21" s="242"/>
      <c r="AT21" s="243"/>
      <c r="AU21" s="242"/>
      <c r="AV21" s="243"/>
      <c r="AW21" s="242"/>
      <c r="AX21" s="243"/>
      <c r="AY21" s="243"/>
      <c r="AZ21" s="243"/>
      <c r="BA21" s="243"/>
      <c r="BB21" s="243"/>
      <c r="BC21"/>
      <c r="BD21" s="243"/>
      <c r="BE21"/>
      <c r="BF21" s="243"/>
      <c r="BG21"/>
      <c r="BH21" s="243"/>
      <c r="BI21"/>
      <c r="BJ21" s="243"/>
      <c r="BK21"/>
      <c r="BL21" s="243"/>
      <c r="BM21"/>
      <c r="BN21" s="243"/>
      <c r="BO21"/>
      <c r="BP21" s="243"/>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row>
    <row r="22" spans="1:145" s="172" customFormat="1" ht="12.75" hidden="1" customHeight="1">
      <c r="A22" s="244"/>
      <c r="B22" s="245" t="s">
        <v>2</v>
      </c>
      <c r="C22" s="244"/>
      <c r="D22" s="246">
        <v>24.6</v>
      </c>
      <c r="E22" s="246"/>
      <c r="F22" s="246">
        <v>24.9</v>
      </c>
      <c r="G22" s="246"/>
      <c r="H22" s="246">
        <v>24.8</v>
      </c>
      <c r="I22" s="246"/>
      <c r="J22" s="246">
        <v>24.6</v>
      </c>
      <c r="K22" s="246"/>
      <c r="L22" s="246">
        <v>24.8</v>
      </c>
      <c r="M22" s="246"/>
      <c r="N22" s="246">
        <v>27.3</v>
      </c>
      <c r="O22" s="246"/>
      <c r="P22" s="246">
        <v>25.5</v>
      </c>
      <c r="Q22" s="246"/>
      <c r="R22" s="246">
        <v>26.16614420062696</v>
      </c>
      <c r="S22" s="244"/>
      <c r="T22" s="246">
        <v>26.6</v>
      </c>
      <c r="U22" s="244"/>
      <c r="V22" s="246">
        <v>28.8</v>
      </c>
      <c r="W22" s="246"/>
      <c r="X22" s="246">
        <v>31.2</v>
      </c>
      <c r="Y22" s="244"/>
      <c r="Z22" s="246">
        <v>30.3</v>
      </c>
      <c r="AA22" s="244"/>
      <c r="AB22" s="246">
        <v>29</v>
      </c>
      <c r="AC22" s="244"/>
      <c r="AD22" s="246" t="s">
        <v>0</v>
      </c>
      <c r="AE22" s="244"/>
      <c r="AF22" s="246" t="s">
        <v>0</v>
      </c>
      <c r="AG22" s="244"/>
      <c r="AH22" s="246" t="s">
        <v>0</v>
      </c>
      <c r="AI22" s="244"/>
      <c r="AJ22" s="246" t="s">
        <v>0</v>
      </c>
      <c r="AK22" s="244"/>
      <c r="AL22" s="246" t="s">
        <v>0</v>
      </c>
      <c r="AM22" s="244"/>
      <c r="AN22" s="246" t="s">
        <v>0</v>
      </c>
      <c r="AO22" s="244"/>
      <c r="AP22" s="246" t="s">
        <v>0</v>
      </c>
      <c r="AQ22" s="246"/>
      <c r="AR22" s="246"/>
      <c r="AS22" s="244"/>
      <c r="AT22" s="246"/>
      <c r="AU22" s="244"/>
      <c r="AV22" s="246"/>
      <c r="AW22" s="244"/>
      <c r="AX22" s="246"/>
      <c r="AY22" s="246"/>
      <c r="AZ22" s="246"/>
      <c r="BA22" s="246"/>
      <c r="BB22" s="246"/>
      <c r="BC22"/>
      <c r="BD22" s="246"/>
      <c r="BE22"/>
      <c r="BF22" s="246"/>
      <c r="BG22"/>
      <c r="BH22" s="246"/>
      <c r="BI22"/>
      <c r="BJ22" s="246"/>
      <c r="BK22"/>
      <c r="BL22" s="246"/>
      <c r="BM22"/>
      <c r="BN22" s="246"/>
      <c r="BO22"/>
      <c r="BP22" s="246"/>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row>
    <row r="23" spans="1:145" s="172" customFormat="1" ht="12.75" hidden="1" customHeight="1">
      <c r="A23" s="244"/>
      <c r="B23" s="245" t="s">
        <v>3</v>
      </c>
      <c r="C23" s="244"/>
      <c r="D23" s="246">
        <v>11</v>
      </c>
      <c r="E23" s="246"/>
      <c r="F23" s="246">
        <v>11.314606741573034</v>
      </c>
      <c r="G23" s="246"/>
      <c r="H23" s="246">
        <v>11.1</v>
      </c>
      <c r="I23" s="246"/>
      <c r="J23" s="246">
        <v>11.8</v>
      </c>
      <c r="K23" s="246"/>
      <c r="L23" s="246">
        <v>12.4</v>
      </c>
      <c r="M23" s="246"/>
      <c r="N23" s="246">
        <v>11.9</v>
      </c>
      <c r="O23" s="246"/>
      <c r="P23" s="246">
        <v>10.199999999999999</v>
      </c>
      <c r="Q23" s="246"/>
      <c r="R23" s="246">
        <v>11.314606741573034</v>
      </c>
      <c r="S23" s="244"/>
      <c r="T23" s="246">
        <v>10.4</v>
      </c>
      <c r="U23" s="244"/>
      <c r="V23" s="246">
        <v>11.3</v>
      </c>
      <c r="W23" s="246"/>
      <c r="X23" s="246">
        <v>11.8</v>
      </c>
      <c r="Y23" s="244"/>
      <c r="Z23" s="246">
        <v>13.1</v>
      </c>
      <c r="AA23" s="244"/>
      <c r="AB23" s="246">
        <v>10.8</v>
      </c>
      <c r="AC23" s="244"/>
      <c r="AD23" s="246" t="s">
        <v>0</v>
      </c>
      <c r="AE23" s="244"/>
      <c r="AF23" s="246" t="s">
        <v>0</v>
      </c>
      <c r="AG23" s="244"/>
      <c r="AH23" s="246" t="s">
        <v>0</v>
      </c>
      <c r="AI23" s="244"/>
      <c r="AJ23" s="246" t="s">
        <v>0</v>
      </c>
      <c r="AK23" s="244"/>
      <c r="AL23" s="246" t="s">
        <v>0</v>
      </c>
      <c r="AM23" s="244"/>
      <c r="AN23" s="246" t="s">
        <v>0</v>
      </c>
      <c r="AO23" s="244"/>
      <c r="AP23" s="246" t="s">
        <v>0</v>
      </c>
      <c r="AQ23" s="246"/>
      <c r="AR23" s="246"/>
      <c r="AS23" s="244"/>
      <c r="AT23" s="246"/>
      <c r="AU23" s="244"/>
      <c r="AV23" s="246"/>
      <c r="AW23" s="244"/>
      <c r="AX23" s="246"/>
      <c r="AY23" s="246"/>
      <c r="AZ23" s="246"/>
      <c r="BA23" s="246"/>
      <c r="BB23" s="246"/>
      <c r="BC23"/>
      <c r="BD23" s="246"/>
      <c r="BE23"/>
      <c r="BF23" s="246"/>
      <c r="BG23"/>
      <c r="BH23" s="246"/>
      <c r="BI23"/>
      <c r="BJ23" s="246"/>
      <c r="BK23"/>
      <c r="BL23" s="246"/>
      <c r="BM23"/>
      <c r="BN23" s="246"/>
      <c r="BO23"/>
      <c r="BP23" s="246"/>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row>
    <row r="24" spans="1:145" ht="12" customHeight="1">
      <c r="A24" s="289" t="s">
        <v>95</v>
      </c>
      <c r="B24" s="289"/>
      <c r="C24" s="289"/>
      <c r="D24" s="226">
        <v>24.2</v>
      </c>
      <c r="E24" s="226"/>
      <c r="F24" s="226">
        <v>25.3</v>
      </c>
      <c r="G24" s="226"/>
      <c r="H24" s="226">
        <v>24.4</v>
      </c>
      <c r="I24" s="226"/>
      <c r="J24" s="226">
        <v>23.5</v>
      </c>
      <c r="K24" s="226"/>
      <c r="L24" s="226">
        <v>23.4</v>
      </c>
      <c r="M24" s="226"/>
      <c r="N24" s="226">
        <v>22.9</v>
      </c>
      <c r="O24" s="226"/>
      <c r="P24" s="226">
        <v>23.4</v>
      </c>
      <c r="Q24" s="226"/>
      <c r="R24" s="226">
        <v>23.50827067669173</v>
      </c>
      <c r="S24" s="225"/>
      <c r="T24" s="226">
        <v>22.9</v>
      </c>
      <c r="U24" s="225"/>
      <c r="V24" s="226">
        <v>25.6</v>
      </c>
      <c r="W24" s="226"/>
      <c r="X24" s="226">
        <v>27.7</v>
      </c>
      <c r="Y24" s="225"/>
      <c r="Z24" s="226">
        <v>26.5</v>
      </c>
      <c r="AA24" s="225"/>
      <c r="AB24" s="226">
        <v>26.9</v>
      </c>
      <c r="AC24" s="225"/>
      <c r="AD24" s="226">
        <v>28.7</v>
      </c>
      <c r="AE24" s="225"/>
      <c r="AF24" s="226">
        <v>27.8</v>
      </c>
      <c r="AG24" s="225"/>
      <c r="AH24" s="226">
        <v>27.2</v>
      </c>
      <c r="AI24" s="225"/>
      <c r="AJ24" s="226">
        <v>27.4</v>
      </c>
      <c r="AK24" s="225"/>
      <c r="AL24" s="226">
        <v>29.3</v>
      </c>
      <c r="AM24" s="225"/>
      <c r="AN24" s="226">
        <v>30.7</v>
      </c>
      <c r="AO24" s="225"/>
      <c r="AP24" s="226">
        <v>32</v>
      </c>
      <c r="AQ24" s="226"/>
      <c r="AR24" s="227">
        <v>32.700000000000003</v>
      </c>
      <c r="AS24" s="228"/>
      <c r="AT24" s="227">
        <v>33.5</v>
      </c>
      <c r="AU24" s="228"/>
      <c r="AV24" s="227">
        <v>38</v>
      </c>
      <c r="AW24" s="228"/>
      <c r="AX24" s="227">
        <v>35.5</v>
      </c>
      <c r="AY24" s="227"/>
      <c r="AZ24" s="227">
        <v>35.6</v>
      </c>
      <c r="BA24" s="227"/>
      <c r="BB24" s="227">
        <v>35.5</v>
      </c>
      <c r="BD24" s="227">
        <v>35.200000000000003</v>
      </c>
      <c r="BF24" s="227">
        <v>32.799999999999997</v>
      </c>
      <c r="BH24" s="227">
        <v>30.3</v>
      </c>
      <c r="BJ24" s="227">
        <v>30.7</v>
      </c>
      <c r="BL24" s="227">
        <v>29.6</v>
      </c>
      <c r="BN24" s="227">
        <v>30.6</v>
      </c>
      <c r="BP24" s="227">
        <v>29.3</v>
      </c>
    </row>
    <row r="25" spans="1:145" s="251" customFormat="1" ht="12.95" customHeight="1">
      <c r="A25" s="249"/>
      <c r="B25" s="248" t="s">
        <v>2</v>
      </c>
      <c r="C25" s="249"/>
      <c r="D25" s="250">
        <v>26.2</v>
      </c>
      <c r="E25" s="250"/>
      <c r="F25" s="250">
        <v>27.3</v>
      </c>
      <c r="G25" s="250"/>
      <c r="H25" s="250">
        <v>26.2</v>
      </c>
      <c r="I25" s="250"/>
      <c r="J25" s="250">
        <v>25.2</v>
      </c>
      <c r="K25" s="250"/>
      <c r="L25" s="250">
        <v>24.7</v>
      </c>
      <c r="M25" s="250"/>
      <c r="N25" s="250">
        <v>24.4</v>
      </c>
      <c r="O25" s="250"/>
      <c r="P25" s="250">
        <v>25.4</v>
      </c>
      <c r="Q25" s="250"/>
      <c r="R25" s="250">
        <v>25.015817223198596</v>
      </c>
      <c r="S25" s="249"/>
      <c r="T25" s="250">
        <v>24.3</v>
      </c>
      <c r="U25" s="249"/>
      <c r="V25" s="250">
        <v>27.4</v>
      </c>
      <c r="W25" s="250"/>
      <c r="X25" s="250">
        <v>29.7</v>
      </c>
      <c r="Y25" s="249"/>
      <c r="Z25" s="250">
        <v>29.1</v>
      </c>
      <c r="AA25" s="249"/>
      <c r="AB25" s="250">
        <v>29.4</v>
      </c>
      <c r="AC25" s="249"/>
      <c r="AD25" s="250">
        <v>31.9</v>
      </c>
      <c r="AE25" s="249"/>
      <c r="AF25" s="250">
        <v>30</v>
      </c>
      <c r="AG25" s="249"/>
      <c r="AH25" s="250">
        <v>30.3</v>
      </c>
      <c r="AI25" s="249"/>
      <c r="AJ25" s="250">
        <v>30.8</v>
      </c>
      <c r="AK25" s="249"/>
      <c r="AL25" s="250">
        <v>33.299999999999997</v>
      </c>
      <c r="AM25" s="249"/>
      <c r="AN25" s="250">
        <v>34.9</v>
      </c>
      <c r="AO25" s="249"/>
      <c r="AP25" s="250">
        <v>36.299999999999997</v>
      </c>
      <c r="AQ25" s="250"/>
      <c r="AR25" s="250">
        <v>37</v>
      </c>
      <c r="AS25" s="249"/>
      <c r="AT25" s="250">
        <v>37.700000000000003</v>
      </c>
      <c r="AU25" s="249"/>
      <c r="AV25" s="250">
        <v>42.7</v>
      </c>
      <c r="AW25" s="249"/>
      <c r="AX25" s="250">
        <v>39.799999999999997</v>
      </c>
      <c r="AY25" s="250"/>
      <c r="AZ25" s="250">
        <v>39.6</v>
      </c>
      <c r="BA25" s="250"/>
      <c r="BB25" s="250">
        <v>39.4</v>
      </c>
      <c r="BD25" s="250">
        <v>39.299999999999997</v>
      </c>
      <c r="BF25" s="250">
        <v>36.9</v>
      </c>
      <c r="BH25" s="250">
        <v>34.9</v>
      </c>
      <c r="BJ25" s="250">
        <v>35.200000000000003</v>
      </c>
      <c r="BL25" s="250">
        <v>34</v>
      </c>
      <c r="BN25" s="250">
        <v>35.4</v>
      </c>
      <c r="BP25" s="250">
        <v>32.9</v>
      </c>
    </row>
    <row r="26" spans="1:145" s="171" customFormat="1" ht="12.6" customHeight="1">
      <c r="A26" s="232"/>
      <c r="B26" s="233"/>
      <c r="C26" s="234" t="s">
        <v>75</v>
      </c>
      <c r="D26" s="235"/>
      <c r="E26" s="236"/>
      <c r="F26" s="235"/>
      <c r="G26" s="236"/>
      <c r="H26" s="236"/>
      <c r="I26" s="236"/>
      <c r="J26" s="236"/>
      <c r="K26" s="236"/>
      <c r="L26" s="236"/>
      <c r="M26" s="236"/>
      <c r="N26" s="236"/>
      <c r="O26" s="236"/>
      <c r="P26" s="236"/>
      <c r="Q26" s="236"/>
      <c r="R26" s="236"/>
      <c r="S26" s="235"/>
      <c r="T26" s="236"/>
      <c r="U26" s="235"/>
      <c r="V26" s="236"/>
      <c r="W26" s="236"/>
      <c r="X26" s="236"/>
      <c r="Y26" s="235"/>
      <c r="Z26" s="236"/>
      <c r="AA26" s="235"/>
      <c r="AB26" s="236"/>
      <c r="AC26" s="235"/>
      <c r="AD26" s="236"/>
      <c r="AE26" s="235"/>
      <c r="AF26" s="236"/>
      <c r="AG26" s="235"/>
      <c r="AH26" s="236"/>
      <c r="AI26" s="235"/>
      <c r="AJ26" s="236"/>
      <c r="AK26" s="235"/>
      <c r="AL26" s="236"/>
      <c r="AM26" s="235"/>
      <c r="AN26" s="236"/>
      <c r="AO26" s="235"/>
      <c r="AP26" s="236"/>
      <c r="AQ26" s="236"/>
      <c r="AR26" s="236">
        <v>45.7</v>
      </c>
      <c r="AS26" s="235"/>
      <c r="AT26" s="236">
        <v>47.1</v>
      </c>
      <c r="AU26" s="236"/>
      <c r="AV26" s="236">
        <v>55.7</v>
      </c>
      <c r="AW26" s="235"/>
      <c r="AX26" s="236">
        <v>44.9</v>
      </c>
      <c r="AY26" s="236"/>
      <c r="AZ26" s="236">
        <v>43.3</v>
      </c>
      <c r="BA26" s="236"/>
      <c r="BB26" s="236">
        <v>43.3</v>
      </c>
      <c r="BC26" s="253"/>
      <c r="BD26" s="236">
        <v>44.1</v>
      </c>
      <c r="BE26" s="253"/>
      <c r="BF26" s="236">
        <v>40.9</v>
      </c>
      <c r="BG26" s="253"/>
      <c r="BH26" s="236">
        <v>37.9</v>
      </c>
      <c r="BI26" s="253"/>
      <c r="BJ26" s="236">
        <v>37.4</v>
      </c>
      <c r="BK26" s="253"/>
      <c r="BL26" s="236">
        <v>38.200000000000003</v>
      </c>
      <c r="BM26" s="253"/>
      <c r="BN26" s="236">
        <v>39.200000000000003</v>
      </c>
      <c r="BO26" s="253"/>
      <c r="BP26" s="236">
        <v>37.299999999999997</v>
      </c>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row>
    <row r="27" spans="1:145" s="171" customFormat="1" ht="12.6" customHeight="1">
      <c r="A27" s="232"/>
      <c r="B27" s="233"/>
      <c r="C27" s="234" t="s">
        <v>76</v>
      </c>
      <c r="D27" s="235"/>
      <c r="E27" s="236"/>
      <c r="F27" s="235"/>
      <c r="G27" s="236"/>
      <c r="H27" s="236"/>
      <c r="I27" s="236"/>
      <c r="J27" s="236"/>
      <c r="K27" s="236"/>
      <c r="L27" s="236"/>
      <c r="M27" s="236"/>
      <c r="N27" s="236"/>
      <c r="O27" s="236"/>
      <c r="P27" s="236"/>
      <c r="Q27" s="236"/>
      <c r="R27" s="236"/>
      <c r="S27" s="235"/>
      <c r="T27" s="236"/>
      <c r="U27" s="235"/>
      <c r="V27" s="236"/>
      <c r="W27" s="236"/>
      <c r="X27" s="236"/>
      <c r="Y27" s="235"/>
      <c r="Z27" s="236"/>
      <c r="AA27" s="235"/>
      <c r="AB27" s="236"/>
      <c r="AC27" s="235"/>
      <c r="AD27" s="236"/>
      <c r="AE27" s="235"/>
      <c r="AF27" s="236"/>
      <c r="AG27" s="235"/>
      <c r="AH27" s="236"/>
      <c r="AI27" s="235"/>
      <c r="AJ27" s="236"/>
      <c r="AK27" s="235"/>
      <c r="AL27" s="236"/>
      <c r="AM27" s="235"/>
      <c r="AN27" s="236"/>
      <c r="AO27" s="235"/>
      <c r="AP27" s="236"/>
      <c r="AQ27" s="236"/>
      <c r="AR27" s="236">
        <v>31.7</v>
      </c>
      <c r="AS27" s="235"/>
      <c r="AT27" s="236">
        <v>31.9</v>
      </c>
      <c r="AU27" s="236"/>
      <c r="AV27" s="236">
        <v>34.1</v>
      </c>
      <c r="AW27" s="235"/>
      <c r="AX27" s="236">
        <v>35.799999999999997</v>
      </c>
      <c r="AY27" s="236"/>
      <c r="AZ27" s="236">
        <v>36.6</v>
      </c>
      <c r="BA27" s="236"/>
      <c r="BB27" s="236">
        <v>36.6</v>
      </c>
      <c r="BC27" s="253"/>
      <c r="BD27" s="236">
        <v>36.1</v>
      </c>
      <c r="BE27" s="253"/>
      <c r="BF27" s="236">
        <v>34.200000000000003</v>
      </c>
      <c r="BG27" s="253"/>
      <c r="BH27" s="236">
        <v>33</v>
      </c>
      <c r="BI27" s="253"/>
      <c r="BJ27" s="236">
        <v>33.700000000000003</v>
      </c>
      <c r="BK27" s="253"/>
      <c r="BL27" s="236">
        <v>31</v>
      </c>
      <c r="BM27" s="253"/>
      <c r="BN27" s="236">
        <v>32.200000000000003</v>
      </c>
      <c r="BO27" s="253"/>
      <c r="BP27" s="236">
        <v>29.9</v>
      </c>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row>
    <row r="28" spans="1:145" s="251" customFormat="1" ht="12.95" customHeight="1">
      <c r="A28" s="247"/>
      <c r="B28" s="248" t="s">
        <v>3</v>
      </c>
      <c r="C28" s="249"/>
      <c r="D28" s="250">
        <v>13.5</v>
      </c>
      <c r="E28" s="250"/>
      <c r="F28" s="250">
        <v>14.4</v>
      </c>
      <c r="G28" s="250"/>
      <c r="H28" s="250">
        <v>13.7</v>
      </c>
      <c r="I28" s="250"/>
      <c r="J28" s="250">
        <v>13.7</v>
      </c>
      <c r="K28" s="250"/>
      <c r="L28" s="250">
        <v>15.6</v>
      </c>
      <c r="M28" s="250"/>
      <c r="N28" s="250">
        <v>14</v>
      </c>
      <c r="O28" s="250"/>
      <c r="P28" s="250">
        <v>12.9</v>
      </c>
      <c r="Q28" s="250"/>
      <c r="R28" s="250">
        <v>14.572916666666666</v>
      </c>
      <c r="S28" s="249"/>
      <c r="T28" s="250">
        <v>14</v>
      </c>
      <c r="U28" s="249"/>
      <c r="V28" s="250">
        <v>13.7</v>
      </c>
      <c r="W28" s="250"/>
      <c r="X28" s="250">
        <v>14.4</v>
      </c>
      <c r="Y28" s="249"/>
      <c r="Z28" s="250">
        <v>12.7</v>
      </c>
      <c r="AA28" s="249"/>
      <c r="AB28" s="250">
        <v>13.2</v>
      </c>
      <c r="AC28" s="249"/>
      <c r="AD28" s="250">
        <v>11.1</v>
      </c>
      <c r="AE28" s="249"/>
      <c r="AF28" s="250">
        <v>13.3</v>
      </c>
      <c r="AG28" s="249"/>
      <c r="AH28" s="250">
        <v>12.2</v>
      </c>
      <c r="AI28" s="249"/>
      <c r="AJ28" s="250">
        <v>11.8</v>
      </c>
      <c r="AK28" s="249"/>
      <c r="AL28" s="250">
        <v>12.9</v>
      </c>
      <c r="AM28" s="249"/>
      <c r="AN28" s="250">
        <v>13.2</v>
      </c>
      <c r="AO28" s="249"/>
      <c r="AP28" s="250">
        <v>13.2</v>
      </c>
      <c r="AQ28" s="250"/>
      <c r="AR28" s="250">
        <v>14.1</v>
      </c>
      <c r="AS28" s="249"/>
      <c r="AT28" s="250">
        <v>14.6</v>
      </c>
      <c r="AU28" s="249"/>
      <c r="AV28" s="250">
        <v>16.600000000000001</v>
      </c>
      <c r="AW28" s="249"/>
      <c r="AX28" s="250">
        <v>16.5</v>
      </c>
      <c r="AY28" s="250"/>
      <c r="AZ28" s="250">
        <v>15.9</v>
      </c>
      <c r="BA28" s="250"/>
      <c r="BB28" s="250">
        <v>17.2</v>
      </c>
      <c r="BC28" s="252"/>
      <c r="BD28" s="250">
        <v>15.6</v>
      </c>
      <c r="BE28" s="252"/>
      <c r="BF28" s="250">
        <v>13.4</v>
      </c>
      <c r="BG28" s="252"/>
      <c r="BH28" s="250">
        <v>10.6</v>
      </c>
      <c r="BI28" s="252"/>
      <c r="BJ28" s="250">
        <v>11.5</v>
      </c>
      <c r="BK28" s="252"/>
      <c r="BL28" s="250">
        <v>11.3</v>
      </c>
      <c r="BM28" s="252"/>
      <c r="BN28" s="250">
        <v>12.5</v>
      </c>
      <c r="BO28" s="252"/>
      <c r="BP28" s="250">
        <v>11.7</v>
      </c>
      <c r="BQ28" s="252"/>
    </row>
    <row r="29" spans="1:145" ht="12.75" hidden="1" customHeight="1">
      <c r="A29" s="238" t="s">
        <v>17</v>
      </c>
      <c r="B29" s="13"/>
      <c r="C29" s="10"/>
      <c r="D29" s="12">
        <v>30.9</v>
      </c>
      <c r="E29" s="12"/>
      <c r="F29" s="12">
        <v>33.299999999999997</v>
      </c>
      <c r="G29" s="12"/>
      <c r="H29" s="12">
        <v>27.1</v>
      </c>
      <c r="I29" s="12"/>
      <c r="J29" s="12">
        <v>30</v>
      </c>
      <c r="K29" s="12"/>
      <c r="L29" s="12">
        <v>29.6</v>
      </c>
      <c r="M29" s="12"/>
      <c r="N29" s="12">
        <v>24.3</v>
      </c>
      <c r="O29" s="12"/>
      <c r="P29" s="12">
        <v>24.8</v>
      </c>
      <c r="Q29" s="12"/>
      <c r="R29" s="12">
        <v>28.30472103004292</v>
      </c>
      <c r="S29" s="10"/>
      <c r="T29" s="12">
        <v>32.200000000000003</v>
      </c>
      <c r="U29" s="10"/>
      <c r="V29" s="12">
        <v>38.1</v>
      </c>
      <c r="W29" s="12"/>
      <c r="X29" s="12">
        <v>30.6</v>
      </c>
      <c r="Y29" s="10"/>
      <c r="Z29" s="12">
        <v>27.2</v>
      </c>
      <c r="AA29" s="10"/>
      <c r="AB29" s="12">
        <v>30.4</v>
      </c>
      <c r="AC29" s="10"/>
      <c r="AD29" s="12" t="s">
        <v>0</v>
      </c>
      <c r="AE29" s="10"/>
      <c r="AF29" s="12" t="s">
        <v>0</v>
      </c>
      <c r="AG29" s="10"/>
      <c r="AH29" s="12" t="s">
        <v>0</v>
      </c>
      <c r="AI29" s="10"/>
      <c r="AJ29" s="12" t="s">
        <v>0</v>
      </c>
      <c r="AK29" s="10"/>
      <c r="AL29" s="12" t="s">
        <v>0</v>
      </c>
      <c r="AM29" s="10"/>
      <c r="AN29" s="12" t="s">
        <v>0</v>
      </c>
      <c r="AO29" s="10"/>
      <c r="AP29" s="12" t="s">
        <v>0</v>
      </c>
      <c r="AQ29" s="12"/>
      <c r="AR29" s="12"/>
      <c r="AS29" s="10"/>
      <c r="AT29" s="12"/>
      <c r="AU29" s="10"/>
      <c r="AV29" s="12"/>
      <c r="AW29" s="10"/>
      <c r="AX29" s="12"/>
      <c r="AY29" s="12"/>
      <c r="AZ29" s="12"/>
      <c r="BA29" s="12"/>
      <c r="BB29" s="12"/>
      <c r="BD29" s="12"/>
      <c r="BF29" s="12"/>
      <c r="BH29" s="12"/>
      <c r="BJ29" s="12"/>
      <c r="BL29" s="12"/>
      <c r="BN29" s="12"/>
      <c r="BP29" s="12"/>
    </row>
    <row r="30" spans="1:145" ht="12.75" hidden="1" customHeight="1">
      <c r="A30" s="229"/>
      <c r="B30" s="230" t="s">
        <v>2</v>
      </c>
      <c r="C30" s="229"/>
      <c r="D30" s="231">
        <v>33.700000000000003</v>
      </c>
      <c r="E30" s="231"/>
      <c r="F30" s="231">
        <v>37.9</v>
      </c>
      <c r="G30" s="231"/>
      <c r="H30" s="231">
        <v>30.7</v>
      </c>
      <c r="I30" s="231"/>
      <c r="J30" s="231">
        <v>33.5</v>
      </c>
      <c r="K30" s="231"/>
      <c r="L30" s="231">
        <v>33.6</v>
      </c>
      <c r="M30" s="231"/>
      <c r="N30" s="231">
        <v>26.4</v>
      </c>
      <c r="O30" s="231"/>
      <c r="P30" s="231">
        <v>27.1</v>
      </c>
      <c r="Q30" s="231"/>
      <c r="R30" s="231">
        <v>30.811594202898551</v>
      </c>
      <c r="S30" s="229"/>
      <c r="T30" s="231">
        <v>35.6</v>
      </c>
      <c r="U30" s="229"/>
      <c r="V30" s="231">
        <v>41.9</v>
      </c>
      <c r="W30" s="231"/>
      <c r="X30" s="231">
        <v>34</v>
      </c>
      <c r="Y30" s="229"/>
      <c r="Z30" s="231">
        <v>29.8</v>
      </c>
      <c r="AA30" s="229"/>
      <c r="AB30" s="231">
        <v>33.5</v>
      </c>
      <c r="AC30" s="229"/>
      <c r="AD30" s="231" t="s">
        <v>0</v>
      </c>
      <c r="AE30" s="229"/>
      <c r="AF30" s="231" t="s">
        <v>0</v>
      </c>
      <c r="AG30" s="229"/>
      <c r="AH30" s="231" t="s">
        <v>0</v>
      </c>
      <c r="AI30" s="229"/>
      <c r="AJ30" s="231" t="s">
        <v>0</v>
      </c>
      <c r="AK30" s="229"/>
      <c r="AL30" s="231" t="s">
        <v>0</v>
      </c>
      <c r="AM30" s="229"/>
      <c r="AN30" s="231" t="s">
        <v>0</v>
      </c>
      <c r="AO30" s="229"/>
      <c r="AP30" s="231" t="s">
        <v>0</v>
      </c>
      <c r="AQ30" s="231"/>
      <c r="AR30" s="231"/>
      <c r="AS30" s="229"/>
      <c r="AT30" s="231"/>
      <c r="AU30" s="229"/>
      <c r="AV30" s="231"/>
      <c r="AW30" s="229"/>
      <c r="AX30" s="231"/>
      <c r="AY30" s="231"/>
      <c r="AZ30" s="231"/>
      <c r="BA30" s="231"/>
      <c r="BB30" s="231"/>
      <c r="BD30" s="231"/>
      <c r="BF30" s="231"/>
      <c r="BH30" s="231"/>
      <c r="BJ30" s="231"/>
      <c r="BL30" s="231"/>
      <c r="BN30" s="231"/>
      <c r="BP30" s="231"/>
    </row>
    <row r="31" spans="1:145" ht="12.75" hidden="1" customHeight="1">
      <c r="A31" s="237"/>
      <c r="B31" s="239" t="s">
        <v>3</v>
      </c>
      <c r="C31" s="237"/>
      <c r="D31" s="240">
        <v>11.7</v>
      </c>
      <c r="E31" s="240"/>
      <c r="F31" s="240">
        <v>11.9</v>
      </c>
      <c r="G31" s="240"/>
      <c r="H31" s="240">
        <v>10</v>
      </c>
      <c r="I31" s="240"/>
      <c r="J31" s="240">
        <v>11.7</v>
      </c>
      <c r="K31" s="240"/>
      <c r="L31" s="240">
        <v>10.3</v>
      </c>
      <c r="M31" s="240"/>
      <c r="N31" s="240">
        <v>10.1</v>
      </c>
      <c r="O31" s="240"/>
      <c r="P31" s="240">
        <v>9.4</v>
      </c>
      <c r="Q31" s="240"/>
      <c r="R31" s="240">
        <v>8.3461538461538467</v>
      </c>
      <c r="S31" s="237"/>
      <c r="T31" s="240">
        <v>10.4</v>
      </c>
      <c r="U31" s="237"/>
      <c r="V31" s="240">
        <v>9.3000000000000007</v>
      </c>
      <c r="W31" s="240"/>
      <c r="X31" s="240">
        <v>9.8000000000000007</v>
      </c>
      <c r="Y31" s="237"/>
      <c r="Z31" s="240">
        <v>8.1</v>
      </c>
      <c r="AA31" s="237"/>
      <c r="AB31" s="240">
        <v>9.3000000000000007</v>
      </c>
      <c r="AC31" s="237"/>
      <c r="AD31" s="240" t="s">
        <v>0</v>
      </c>
      <c r="AE31" s="237"/>
      <c r="AF31" s="240" t="s">
        <v>0</v>
      </c>
      <c r="AG31" s="237"/>
      <c r="AH31" s="240" t="s">
        <v>0</v>
      </c>
      <c r="AI31" s="237"/>
      <c r="AJ31" s="240" t="s">
        <v>0</v>
      </c>
      <c r="AK31" s="237"/>
      <c r="AL31" s="240" t="s">
        <v>0</v>
      </c>
      <c r="AM31" s="237"/>
      <c r="AN31" s="240" t="s">
        <v>0</v>
      </c>
      <c r="AO31" s="237"/>
      <c r="AP31" s="240" t="s">
        <v>0</v>
      </c>
      <c r="AQ31" s="240"/>
      <c r="AR31" s="231"/>
      <c r="AS31" s="229"/>
      <c r="AT31" s="231"/>
      <c r="AU31" s="229"/>
      <c r="AV31" s="231"/>
      <c r="AW31" s="229"/>
      <c r="AX31" s="231"/>
      <c r="AY31" s="231"/>
      <c r="AZ31" s="231"/>
      <c r="BA31" s="231"/>
      <c r="BB31" s="231"/>
      <c r="BD31" s="231"/>
      <c r="BF31" s="231"/>
      <c r="BH31" s="231"/>
      <c r="BJ31" s="231"/>
      <c r="BL31" s="231"/>
      <c r="BN31" s="231"/>
      <c r="BP31" s="231"/>
    </row>
    <row r="32" spans="1:145" ht="12" customHeight="1">
      <c r="A32" s="289" t="s">
        <v>96</v>
      </c>
      <c r="B32" s="289"/>
      <c r="C32" s="289"/>
      <c r="D32" s="226"/>
      <c r="E32" s="226"/>
      <c r="F32" s="226"/>
      <c r="G32" s="226"/>
      <c r="H32" s="226"/>
      <c r="I32" s="226"/>
      <c r="J32" s="226"/>
      <c r="K32" s="226"/>
      <c r="L32" s="226"/>
      <c r="M32" s="226"/>
      <c r="N32" s="226"/>
      <c r="O32" s="226"/>
      <c r="P32" s="226"/>
      <c r="Q32" s="226"/>
      <c r="R32" s="226"/>
      <c r="S32" s="225"/>
      <c r="T32" s="226"/>
      <c r="U32" s="225"/>
      <c r="V32" s="226"/>
      <c r="W32" s="226"/>
      <c r="X32" s="226"/>
      <c r="Y32" s="225"/>
      <c r="Z32" s="226"/>
      <c r="AA32" s="225"/>
      <c r="AB32" s="226"/>
      <c r="AC32" s="225"/>
      <c r="AD32" s="226">
        <v>26.1</v>
      </c>
      <c r="AE32" s="225"/>
      <c r="AF32" s="226">
        <v>26.7</v>
      </c>
      <c r="AG32" s="225"/>
      <c r="AH32" s="226">
        <v>25.8</v>
      </c>
      <c r="AI32" s="225"/>
      <c r="AJ32" s="226">
        <v>27.9</v>
      </c>
      <c r="AK32" s="225"/>
      <c r="AL32" s="226">
        <v>27.5</v>
      </c>
      <c r="AM32" s="225"/>
      <c r="AN32" s="226">
        <v>29.3</v>
      </c>
      <c r="AO32" s="225"/>
      <c r="AP32" s="226">
        <v>32.9</v>
      </c>
      <c r="AQ32" s="226"/>
      <c r="AR32" s="227">
        <v>34.700000000000003</v>
      </c>
      <c r="AS32" s="228"/>
      <c r="AT32" s="227">
        <v>36.4</v>
      </c>
      <c r="AU32" s="228"/>
      <c r="AV32" s="227">
        <v>37.9</v>
      </c>
      <c r="AW32" s="228"/>
      <c r="AX32" s="227">
        <v>36.5</v>
      </c>
      <c r="AY32" s="227"/>
      <c r="AZ32" s="227">
        <v>36.1</v>
      </c>
      <c r="BA32" s="227"/>
      <c r="BB32" s="227">
        <v>34.4</v>
      </c>
      <c r="BD32" s="227">
        <v>32.6</v>
      </c>
      <c r="BF32" s="227">
        <v>30.4</v>
      </c>
      <c r="BH32" s="227">
        <v>29.2</v>
      </c>
      <c r="BJ32" s="227">
        <v>29.4</v>
      </c>
      <c r="BL32" s="227">
        <v>29.4</v>
      </c>
      <c r="BN32" s="227">
        <v>31.5</v>
      </c>
      <c r="BP32" s="227">
        <v>31.2</v>
      </c>
    </row>
    <row r="33" spans="1:145" s="251" customFormat="1" ht="12.95" customHeight="1">
      <c r="A33" s="249"/>
      <c r="B33" s="248" t="s">
        <v>2</v>
      </c>
      <c r="C33" s="249"/>
      <c r="D33" s="250"/>
      <c r="E33" s="250"/>
      <c r="F33" s="250"/>
      <c r="G33" s="250"/>
      <c r="H33" s="250"/>
      <c r="I33" s="250"/>
      <c r="J33" s="250"/>
      <c r="K33" s="250"/>
      <c r="L33" s="250"/>
      <c r="M33" s="250"/>
      <c r="N33" s="250"/>
      <c r="O33" s="250"/>
      <c r="P33" s="250"/>
      <c r="Q33" s="250"/>
      <c r="R33" s="250"/>
      <c r="S33" s="249"/>
      <c r="T33" s="250"/>
      <c r="U33" s="249"/>
      <c r="V33" s="250"/>
      <c r="W33" s="250"/>
      <c r="X33" s="250"/>
      <c r="Y33" s="249"/>
      <c r="Z33" s="250"/>
      <c r="AA33" s="249"/>
      <c r="AB33" s="250"/>
      <c r="AC33" s="249"/>
      <c r="AD33" s="250">
        <v>29.8</v>
      </c>
      <c r="AE33" s="249"/>
      <c r="AF33" s="250">
        <v>30.4</v>
      </c>
      <c r="AG33" s="249"/>
      <c r="AH33" s="250">
        <v>30.8</v>
      </c>
      <c r="AI33" s="249"/>
      <c r="AJ33" s="250">
        <v>33.799999999999997</v>
      </c>
      <c r="AK33" s="249"/>
      <c r="AL33" s="250">
        <v>32.799999999999997</v>
      </c>
      <c r="AM33" s="249"/>
      <c r="AN33" s="250">
        <v>35.299999999999997</v>
      </c>
      <c r="AO33" s="249"/>
      <c r="AP33" s="250">
        <v>40.799999999999997</v>
      </c>
      <c r="AQ33" s="250"/>
      <c r="AR33" s="250">
        <v>43.1</v>
      </c>
      <c r="AS33" s="249"/>
      <c r="AT33" s="250">
        <v>44.8</v>
      </c>
      <c r="AU33" s="249"/>
      <c r="AV33" s="250">
        <v>45.7</v>
      </c>
      <c r="AW33" s="249"/>
      <c r="AX33" s="250">
        <v>44.9</v>
      </c>
      <c r="AY33" s="250"/>
      <c r="AZ33" s="250">
        <v>43.6</v>
      </c>
      <c r="BA33" s="250"/>
      <c r="BB33" s="250">
        <v>41.2</v>
      </c>
      <c r="BD33" s="250">
        <v>38.200000000000003</v>
      </c>
      <c r="BF33" s="250">
        <v>35.9</v>
      </c>
      <c r="BH33" s="250">
        <v>35</v>
      </c>
      <c r="BJ33" s="250">
        <v>34.9</v>
      </c>
      <c r="BL33" s="250">
        <v>34.6</v>
      </c>
      <c r="BN33" s="250">
        <v>36.6</v>
      </c>
      <c r="BP33" s="250">
        <v>36.299999999999997</v>
      </c>
    </row>
    <row r="34" spans="1:145" s="171" customFormat="1" ht="12.6" customHeight="1">
      <c r="A34" s="232"/>
      <c r="B34" s="233"/>
      <c r="C34" s="234" t="s">
        <v>75</v>
      </c>
      <c r="D34" s="235"/>
      <c r="E34" s="236"/>
      <c r="F34" s="235"/>
      <c r="G34" s="236"/>
      <c r="H34" s="236"/>
      <c r="I34" s="236"/>
      <c r="J34" s="236"/>
      <c r="K34" s="236"/>
      <c r="L34" s="236"/>
      <c r="M34" s="236"/>
      <c r="N34" s="236"/>
      <c r="O34" s="236"/>
      <c r="P34" s="236"/>
      <c r="Q34" s="236"/>
      <c r="R34" s="236"/>
      <c r="S34" s="235"/>
      <c r="T34" s="236"/>
      <c r="U34" s="235"/>
      <c r="V34" s="236"/>
      <c r="W34" s="236"/>
      <c r="X34" s="236"/>
      <c r="Y34" s="235"/>
      <c r="Z34" s="236"/>
      <c r="AA34" s="235"/>
      <c r="AB34" s="236"/>
      <c r="AC34" s="235"/>
      <c r="AD34" s="236"/>
      <c r="AE34" s="235"/>
      <c r="AF34" s="236"/>
      <c r="AG34" s="235"/>
      <c r="AH34" s="236"/>
      <c r="AI34" s="235"/>
      <c r="AJ34" s="236"/>
      <c r="AK34" s="235"/>
      <c r="AL34" s="236"/>
      <c r="AM34" s="235"/>
      <c r="AN34" s="236"/>
      <c r="AO34" s="235"/>
      <c r="AP34" s="236"/>
      <c r="AQ34" s="236"/>
      <c r="AR34" s="236">
        <v>50.1</v>
      </c>
      <c r="AS34" s="235"/>
      <c r="AT34" s="236">
        <v>51.1</v>
      </c>
      <c r="AU34" s="236"/>
      <c r="AV34" s="236">
        <v>52.3</v>
      </c>
      <c r="AW34" s="235"/>
      <c r="AX34" s="236">
        <v>49</v>
      </c>
      <c r="AY34" s="236"/>
      <c r="AZ34" s="236">
        <v>48.6</v>
      </c>
      <c r="BA34" s="236"/>
      <c r="BB34" s="236">
        <v>45.5</v>
      </c>
      <c r="BC34" s="253"/>
      <c r="BD34" s="236">
        <v>41.7</v>
      </c>
      <c r="BE34" s="253"/>
      <c r="BF34" s="236">
        <v>41.8</v>
      </c>
      <c r="BG34" s="253"/>
      <c r="BH34" s="236">
        <v>40.4</v>
      </c>
      <c r="BI34" s="253"/>
      <c r="BJ34" s="236">
        <v>40.5</v>
      </c>
      <c r="BK34" s="253"/>
      <c r="BL34" s="236">
        <v>40.700000000000003</v>
      </c>
      <c r="BM34" s="253"/>
      <c r="BN34" s="236">
        <v>44</v>
      </c>
      <c r="BO34" s="253"/>
      <c r="BP34" s="236">
        <v>43.9</v>
      </c>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row>
    <row r="35" spans="1:145" s="171" customFormat="1" ht="12.6" customHeight="1">
      <c r="A35" s="232"/>
      <c r="B35" s="233"/>
      <c r="C35" s="234" t="s">
        <v>76</v>
      </c>
      <c r="D35" s="235"/>
      <c r="E35" s="236"/>
      <c r="F35" s="235"/>
      <c r="G35" s="236"/>
      <c r="H35" s="236"/>
      <c r="I35" s="236"/>
      <c r="J35" s="236"/>
      <c r="K35" s="236"/>
      <c r="L35" s="236"/>
      <c r="M35" s="236"/>
      <c r="N35" s="236"/>
      <c r="O35" s="236"/>
      <c r="P35" s="236"/>
      <c r="Q35" s="236"/>
      <c r="R35" s="236"/>
      <c r="S35" s="235"/>
      <c r="T35" s="236"/>
      <c r="U35" s="235"/>
      <c r="V35" s="236"/>
      <c r="W35" s="236"/>
      <c r="X35" s="236"/>
      <c r="Y35" s="235"/>
      <c r="Z35" s="236"/>
      <c r="AA35" s="235"/>
      <c r="AB35" s="236"/>
      <c r="AC35" s="235"/>
      <c r="AD35" s="236"/>
      <c r="AE35" s="235"/>
      <c r="AF35" s="236"/>
      <c r="AG35" s="235"/>
      <c r="AH35" s="236"/>
      <c r="AI35" s="235"/>
      <c r="AJ35" s="236"/>
      <c r="AK35" s="235"/>
      <c r="AL35" s="236"/>
      <c r="AM35" s="235"/>
      <c r="AN35" s="236"/>
      <c r="AO35" s="235"/>
      <c r="AP35" s="236"/>
      <c r="AQ35" s="236"/>
      <c r="AR35" s="236">
        <v>34.700000000000003</v>
      </c>
      <c r="AS35" s="235"/>
      <c r="AT35" s="236">
        <v>37.6</v>
      </c>
      <c r="AU35" s="236"/>
      <c r="AV35" s="236">
        <v>38.6</v>
      </c>
      <c r="AW35" s="235"/>
      <c r="AX35" s="236">
        <v>40.1</v>
      </c>
      <c r="AY35" s="236"/>
      <c r="AZ35" s="236">
        <v>38.299999999999997</v>
      </c>
      <c r="BA35" s="236"/>
      <c r="BB35" s="236">
        <v>36.5</v>
      </c>
      <c r="BC35" s="253"/>
      <c r="BD35" s="236">
        <v>34.4</v>
      </c>
      <c r="BE35" s="253"/>
      <c r="BF35" s="236">
        <v>30.3</v>
      </c>
      <c r="BG35" s="253"/>
      <c r="BH35" s="236">
        <v>30</v>
      </c>
      <c r="BI35" s="253"/>
      <c r="BJ35" s="236">
        <v>29.6</v>
      </c>
      <c r="BK35" s="253"/>
      <c r="BL35" s="236">
        <v>29.1</v>
      </c>
      <c r="BM35" s="253"/>
      <c r="BN35" s="236">
        <v>29.8</v>
      </c>
      <c r="BO35" s="253"/>
      <c r="BP35" s="236">
        <v>29.6</v>
      </c>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row>
    <row r="36" spans="1:145" s="251" customFormat="1" ht="12.6" customHeight="1">
      <c r="A36" s="247"/>
      <c r="B36" s="248" t="s">
        <v>3</v>
      </c>
      <c r="C36" s="249"/>
      <c r="D36" s="250"/>
      <c r="E36" s="250"/>
      <c r="F36" s="250"/>
      <c r="G36" s="250"/>
      <c r="H36" s="250"/>
      <c r="I36" s="250"/>
      <c r="J36" s="250"/>
      <c r="K36" s="250"/>
      <c r="L36" s="250"/>
      <c r="M36" s="250"/>
      <c r="N36" s="250"/>
      <c r="O36" s="250"/>
      <c r="P36" s="250"/>
      <c r="Q36" s="250"/>
      <c r="R36" s="250"/>
      <c r="S36" s="249"/>
      <c r="T36" s="250"/>
      <c r="U36" s="249"/>
      <c r="V36" s="250"/>
      <c r="W36" s="250"/>
      <c r="X36" s="250"/>
      <c r="Y36" s="249"/>
      <c r="Z36" s="250"/>
      <c r="AA36" s="249"/>
      <c r="AB36" s="250"/>
      <c r="AC36" s="249"/>
      <c r="AD36" s="250">
        <v>10.4</v>
      </c>
      <c r="AE36" s="249"/>
      <c r="AF36" s="250">
        <v>9</v>
      </c>
      <c r="AG36" s="249"/>
      <c r="AH36" s="250">
        <v>9.6999999999999993</v>
      </c>
      <c r="AI36" s="249"/>
      <c r="AJ36" s="250">
        <v>9.4</v>
      </c>
      <c r="AK36" s="249"/>
      <c r="AL36" s="250">
        <v>10.3</v>
      </c>
      <c r="AM36" s="249"/>
      <c r="AN36" s="250">
        <v>10.3</v>
      </c>
      <c r="AO36" s="249"/>
      <c r="AP36" s="250">
        <v>10.1</v>
      </c>
      <c r="AQ36" s="250"/>
      <c r="AR36" s="250">
        <v>9.3000000000000007</v>
      </c>
      <c r="AS36" s="249"/>
      <c r="AT36" s="250">
        <v>9.4</v>
      </c>
      <c r="AU36" s="249"/>
      <c r="AV36" s="250">
        <v>10.9</v>
      </c>
      <c r="AW36" s="249"/>
      <c r="AX36" s="250">
        <v>8.4</v>
      </c>
      <c r="AY36" s="250"/>
      <c r="AZ36" s="250">
        <v>8.5</v>
      </c>
      <c r="BA36" s="250"/>
      <c r="BB36" s="250">
        <v>7.8</v>
      </c>
      <c r="BC36" s="252"/>
      <c r="BD36" s="250">
        <v>8.3000000000000007</v>
      </c>
      <c r="BE36" s="252"/>
      <c r="BF36" s="250">
        <v>7.9</v>
      </c>
      <c r="BG36" s="252"/>
      <c r="BH36" s="250">
        <v>7.9</v>
      </c>
      <c r="BI36" s="252"/>
      <c r="BJ36" s="250">
        <v>8.1999999999999993</v>
      </c>
      <c r="BK36" s="252"/>
      <c r="BL36" s="250">
        <v>8.1</v>
      </c>
      <c r="BM36" s="252"/>
      <c r="BN36" s="250">
        <v>9.9</v>
      </c>
      <c r="BO36" s="252"/>
      <c r="BP36" s="250">
        <v>9.6999999999999993</v>
      </c>
      <c r="BQ36" s="252"/>
    </row>
    <row r="37" spans="1:145" ht="12" customHeight="1">
      <c r="A37" s="289" t="s">
        <v>97</v>
      </c>
      <c r="B37" s="289"/>
      <c r="C37" s="289"/>
      <c r="D37" s="226">
        <v>34.6</v>
      </c>
      <c r="E37" s="226"/>
      <c r="F37" s="226">
        <v>33.299999999999997</v>
      </c>
      <c r="G37" s="226"/>
      <c r="H37" s="226">
        <v>32.6</v>
      </c>
      <c r="I37" s="226"/>
      <c r="J37" s="226">
        <v>32.700000000000003</v>
      </c>
      <c r="K37" s="226"/>
      <c r="L37" s="226">
        <v>31.1</v>
      </c>
      <c r="M37" s="226"/>
      <c r="N37" s="226">
        <v>32.200000000000003</v>
      </c>
      <c r="O37" s="226"/>
      <c r="P37" s="226">
        <v>31.4</v>
      </c>
      <c r="Q37" s="226"/>
      <c r="R37" s="226">
        <v>33.296003513394815</v>
      </c>
      <c r="S37" s="225"/>
      <c r="T37" s="226">
        <v>33.799999999999997</v>
      </c>
      <c r="U37" s="225"/>
      <c r="V37" s="226">
        <v>36</v>
      </c>
      <c r="W37" s="226"/>
      <c r="X37" s="226">
        <v>34.700000000000003</v>
      </c>
      <c r="Y37" s="225"/>
      <c r="Z37" s="226">
        <v>32.9</v>
      </c>
      <c r="AA37" s="225"/>
      <c r="AB37" s="226">
        <v>33.700000000000003</v>
      </c>
      <c r="AC37" s="225"/>
      <c r="AD37" s="226">
        <v>32.700000000000003</v>
      </c>
      <c r="AE37" s="225"/>
      <c r="AF37" s="226">
        <v>31.7</v>
      </c>
      <c r="AG37" s="225"/>
      <c r="AH37" s="226">
        <v>32.5</v>
      </c>
      <c r="AI37" s="225"/>
      <c r="AJ37" s="226">
        <v>33.299999999999997</v>
      </c>
      <c r="AK37" s="225"/>
      <c r="AL37" s="226">
        <v>34.6</v>
      </c>
      <c r="AM37" s="225"/>
      <c r="AN37" s="226">
        <v>33.9</v>
      </c>
      <c r="AO37" s="225"/>
      <c r="AP37" s="226">
        <v>34.200000000000003</v>
      </c>
      <c r="AQ37" s="226"/>
      <c r="AR37" s="227">
        <v>33.5</v>
      </c>
      <c r="AS37" s="228"/>
      <c r="AT37" s="227">
        <v>35.299999999999997</v>
      </c>
      <c r="AU37" s="228"/>
      <c r="AV37" s="227">
        <v>35.799999999999997</v>
      </c>
      <c r="AW37" s="228"/>
      <c r="AX37" s="227">
        <v>36.200000000000003</v>
      </c>
      <c r="AY37" s="227"/>
      <c r="AZ37" s="227">
        <v>36.799999999999997</v>
      </c>
      <c r="BA37" s="227"/>
      <c r="BB37" s="227">
        <v>36.700000000000003</v>
      </c>
      <c r="BD37" s="227">
        <v>36.5</v>
      </c>
      <c r="BF37" s="227">
        <v>35.6</v>
      </c>
      <c r="BH37" s="227">
        <v>34.200000000000003</v>
      </c>
      <c r="BJ37" s="227">
        <v>34.6</v>
      </c>
      <c r="BL37" s="227">
        <v>35.799999999999997</v>
      </c>
      <c r="BN37" s="227">
        <v>36.4</v>
      </c>
      <c r="BP37" s="227">
        <v>35.9</v>
      </c>
    </row>
    <row r="38" spans="1:145" s="251" customFormat="1" ht="12.95" customHeight="1">
      <c r="A38" s="249"/>
      <c r="B38" s="248" t="s">
        <v>2</v>
      </c>
      <c r="C38" s="249"/>
      <c r="D38" s="250">
        <v>36.700000000000003</v>
      </c>
      <c r="E38" s="250"/>
      <c r="F38" s="250">
        <v>35.299999999999997</v>
      </c>
      <c r="G38" s="250"/>
      <c r="H38" s="250">
        <v>34.700000000000003</v>
      </c>
      <c r="I38" s="250"/>
      <c r="J38" s="250">
        <v>34.799999999999997</v>
      </c>
      <c r="K38" s="250"/>
      <c r="L38" s="250">
        <v>33.1</v>
      </c>
      <c r="M38" s="250"/>
      <c r="N38" s="250">
        <v>34.299999999999997</v>
      </c>
      <c r="O38" s="250"/>
      <c r="P38" s="250">
        <v>33.4</v>
      </c>
      <c r="Q38" s="250"/>
      <c r="R38" s="250">
        <v>35.19471153846154</v>
      </c>
      <c r="S38" s="249"/>
      <c r="T38" s="250">
        <v>35.6</v>
      </c>
      <c r="U38" s="249"/>
      <c r="V38" s="250">
        <v>38.1</v>
      </c>
      <c r="W38" s="250"/>
      <c r="X38" s="250">
        <v>36.5</v>
      </c>
      <c r="Y38" s="249"/>
      <c r="Z38" s="250">
        <v>34.6</v>
      </c>
      <c r="AA38" s="249"/>
      <c r="AB38" s="250">
        <v>35.6</v>
      </c>
      <c r="AC38" s="249"/>
      <c r="AD38" s="250">
        <v>34.4</v>
      </c>
      <c r="AE38" s="249"/>
      <c r="AF38" s="250">
        <v>33.5</v>
      </c>
      <c r="AG38" s="249"/>
      <c r="AH38" s="250">
        <v>34.799999999999997</v>
      </c>
      <c r="AI38" s="249"/>
      <c r="AJ38" s="250">
        <v>35.700000000000003</v>
      </c>
      <c r="AK38" s="249"/>
      <c r="AL38" s="250">
        <v>36.9</v>
      </c>
      <c r="AM38" s="249"/>
      <c r="AN38" s="250">
        <v>36</v>
      </c>
      <c r="AO38" s="249"/>
      <c r="AP38" s="250">
        <v>36.4</v>
      </c>
      <c r="AQ38" s="250"/>
      <c r="AR38" s="250">
        <v>35.700000000000003</v>
      </c>
      <c r="AS38" s="249"/>
      <c r="AT38" s="250">
        <v>37.4</v>
      </c>
      <c r="AU38" s="249"/>
      <c r="AV38" s="250">
        <v>37.799999999999997</v>
      </c>
      <c r="AW38" s="249"/>
      <c r="AX38" s="250">
        <v>38.1</v>
      </c>
      <c r="AY38" s="250"/>
      <c r="AZ38" s="250">
        <v>38.9</v>
      </c>
      <c r="BA38" s="250"/>
      <c r="BB38" s="250">
        <v>38.6</v>
      </c>
      <c r="BD38" s="250">
        <v>38.5</v>
      </c>
      <c r="BF38" s="250">
        <v>37.4</v>
      </c>
      <c r="BH38" s="250">
        <v>36.200000000000003</v>
      </c>
      <c r="BJ38" s="250">
        <v>36.700000000000003</v>
      </c>
      <c r="BL38" s="250">
        <v>37.6</v>
      </c>
      <c r="BN38" s="250">
        <v>38.299999999999997</v>
      </c>
      <c r="BP38" s="250">
        <v>37.799999999999997</v>
      </c>
    </row>
    <row r="39" spans="1:145" s="171" customFormat="1" ht="12.6" customHeight="1">
      <c r="A39" s="232"/>
      <c r="B39" s="233"/>
      <c r="C39" s="234" t="s">
        <v>75</v>
      </c>
      <c r="D39" s="235"/>
      <c r="E39" s="236"/>
      <c r="F39" s="235"/>
      <c r="G39" s="236"/>
      <c r="H39" s="236"/>
      <c r="I39" s="236"/>
      <c r="J39" s="236"/>
      <c r="K39" s="236"/>
      <c r="L39" s="236"/>
      <c r="M39" s="236"/>
      <c r="N39" s="236"/>
      <c r="O39" s="236"/>
      <c r="P39" s="236"/>
      <c r="Q39" s="236"/>
      <c r="R39" s="236"/>
      <c r="S39" s="235"/>
      <c r="T39" s="236"/>
      <c r="U39" s="235"/>
      <c r="V39" s="236"/>
      <c r="W39" s="236"/>
      <c r="X39" s="236"/>
      <c r="Y39" s="235"/>
      <c r="Z39" s="236"/>
      <c r="AA39" s="235"/>
      <c r="AB39" s="236"/>
      <c r="AC39" s="235"/>
      <c r="AD39" s="236"/>
      <c r="AE39" s="235"/>
      <c r="AF39" s="236"/>
      <c r="AG39" s="235"/>
      <c r="AH39" s="236"/>
      <c r="AI39" s="235"/>
      <c r="AJ39" s="236"/>
      <c r="AK39" s="235"/>
      <c r="AL39" s="236"/>
      <c r="AM39" s="235"/>
      <c r="AN39" s="236"/>
      <c r="AO39" s="235"/>
      <c r="AP39" s="236"/>
      <c r="AQ39" s="236"/>
      <c r="AR39" s="236">
        <v>39.299999999999997</v>
      </c>
      <c r="AS39" s="235"/>
      <c r="AT39" s="236">
        <v>41</v>
      </c>
      <c r="AU39" s="236"/>
      <c r="AV39" s="236">
        <v>42</v>
      </c>
      <c r="AW39" s="235"/>
      <c r="AX39" s="236">
        <v>41.5</v>
      </c>
      <c r="AY39" s="236"/>
      <c r="AZ39" s="236">
        <v>42.8</v>
      </c>
      <c r="BA39" s="236"/>
      <c r="BB39" s="236">
        <v>42.4</v>
      </c>
      <c r="BC39" s="253"/>
      <c r="BD39" s="236">
        <v>42.7</v>
      </c>
      <c r="BE39" s="253"/>
      <c r="BF39" s="236">
        <v>41.5</v>
      </c>
      <c r="BG39" s="253"/>
      <c r="BH39" s="236">
        <v>40.299999999999997</v>
      </c>
      <c r="BI39" s="253"/>
      <c r="BJ39" s="236">
        <v>41.1</v>
      </c>
      <c r="BK39" s="253"/>
      <c r="BL39" s="236">
        <v>42.5</v>
      </c>
      <c r="BM39" s="253"/>
      <c r="BN39" s="236">
        <v>42.5</v>
      </c>
      <c r="BO39" s="253"/>
      <c r="BP39" s="236">
        <v>40.9</v>
      </c>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row>
    <row r="40" spans="1:145" s="171" customFormat="1" ht="12.6" customHeight="1">
      <c r="A40" s="232"/>
      <c r="B40" s="233"/>
      <c r="C40" s="234" t="s">
        <v>76</v>
      </c>
      <c r="D40" s="235"/>
      <c r="E40" s="236"/>
      <c r="F40" s="235"/>
      <c r="G40" s="236"/>
      <c r="H40" s="236"/>
      <c r="I40" s="236"/>
      <c r="J40" s="236"/>
      <c r="K40" s="236"/>
      <c r="L40" s="236"/>
      <c r="M40" s="236"/>
      <c r="N40" s="236"/>
      <c r="O40" s="236"/>
      <c r="P40" s="236"/>
      <c r="Q40" s="236"/>
      <c r="R40" s="236"/>
      <c r="S40" s="235"/>
      <c r="T40" s="236"/>
      <c r="U40" s="235"/>
      <c r="V40" s="236"/>
      <c r="W40" s="236"/>
      <c r="X40" s="236"/>
      <c r="Y40" s="235"/>
      <c r="Z40" s="236"/>
      <c r="AA40" s="235"/>
      <c r="AB40" s="236"/>
      <c r="AC40" s="235"/>
      <c r="AD40" s="236"/>
      <c r="AE40" s="235"/>
      <c r="AF40" s="236"/>
      <c r="AG40" s="235"/>
      <c r="AH40" s="236"/>
      <c r="AI40" s="235"/>
      <c r="AJ40" s="236"/>
      <c r="AK40" s="235"/>
      <c r="AL40" s="236"/>
      <c r="AM40" s="235"/>
      <c r="AN40" s="236"/>
      <c r="AO40" s="235"/>
      <c r="AP40" s="236"/>
      <c r="AQ40" s="236"/>
      <c r="AR40" s="236">
        <v>26.9</v>
      </c>
      <c r="AS40" s="235"/>
      <c r="AT40" s="236">
        <v>27.9</v>
      </c>
      <c r="AU40" s="236"/>
      <c r="AV40" s="236">
        <v>27.4</v>
      </c>
      <c r="AW40" s="235"/>
      <c r="AX40" s="236">
        <v>29.4</v>
      </c>
      <c r="AY40" s="236"/>
      <c r="AZ40" s="236">
        <v>29.3</v>
      </c>
      <c r="BA40" s="236"/>
      <c r="BB40" s="236">
        <v>29.5</v>
      </c>
      <c r="BC40" s="253"/>
      <c r="BD40" s="236">
        <v>28.7</v>
      </c>
      <c r="BE40" s="253"/>
      <c r="BF40" s="236">
        <v>28.3</v>
      </c>
      <c r="BG40" s="253"/>
      <c r="BH40" s="236">
        <v>27.7</v>
      </c>
      <c r="BI40" s="253"/>
      <c r="BJ40" s="236">
        <v>27.6</v>
      </c>
      <c r="BK40" s="253"/>
      <c r="BL40" s="236">
        <v>27.2</v>
      </c>
      <c r="BM40" s="253"/>
      <c r="BN40" s="236">
        <v>28.9</v>
      </c>
      <c r="BO40" s="253"/>
      <c r="BP40" s="236">
        <v>30.5</v>
      </c>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row>
    <row r="41" spans="1:145" s="251" customFormat="1" ht="12.6" customHeight="1">
      <c r="A41" s="247"/>
      <c r="B41" s="248" t="s">
        <v>3</v>
      </c>
      <c r="C41" s="249"/>
      <c r="D41" s="250">
        <v>15.5</v>
      </c>
      <c r="E41" s="250"/>
      <c r="F41" s="250">
        <v>14.9</v>
      </c>
      <c r="G41" s="250"/>
      <c r="H41" s="250">
        <v>13.8</v>
      </c>
      <c r="I41" s="250"/>
      <c r="J41" s="250">
        <v>13.1</v>
      </c>
      <c r="K41" s="250"/>
      <c r="L41" s="250">
        <v>12.4</v>
      </c>
      <c r="M41" s="250"/>
      <c r="N41" s="250">
        <v>12.8</v>
      </c>
      <c r="O41" s="250"/>
      <c r="P41" s="250">
        <v>12.2</v>
      </c>
      <c r="Q41" s="250"/>
      <c r="R41" s="250">
        <v>13.248730964467006</v>
      </c>
      <c r="S41" s="249"/>
      <c r="T41" s="250">
        <v>13.7</v>
      </c>
      <c r="U41" s="249"/>
      <c r="V41" s="250">
        <v>13.7</v>
      </c>
      <c r="W41" s="250"/>
      <c r="X41" s="250">
        <v>14.1</v>
      </c>
      <c r="Y41" s="249"/>
      <c r="Z41" s="250">
        <v>14.4</v>
      </c>
      <c r="AA41" s="249"/>
      <c r="AB41" s="250">
        <v>14</v>
      </c>
      <c r="AC41" s="249"/>
      <c r="AD41" s="250">
        <v>13.9</v>
      </c>
      <c r="AE41" s="249"/>
      <c r="AF41" s="250">
        <v>13.5</v>
      </c>
      <c r="AG41" s="249"/>
      <c r="AH41" s="250">
        <v>12.5</v>
      </c>
      <c r="AI41" s="249"/>
      <c r="AJ41" s="250">
        <v>12.1</v>
      </c>
      <c r="AK41" s="249"/>
      <c r="AL41" s="250">
        <v>12.8</v>
      </c>
      <c r="AM41" s="249"/>
      <c r="AN41" s="250">
        <v>13</v>
      </c>
      <c r="AO41" s="249"/>
      <c r="AP41" s="250">
        <v>12.7</v>
      </c>
      <c r="AQ41" s="250"/>
      <c r="AR41" s="250">
        <v>11.8</v>
      </c>
      <c r="AS41" s="249"/>
      <c r="AT41" s="250">
        <v>12.4</v>
      </c>
      <c r="AU41" s="249"/>
      <c r="AV41" s="250">
        <v>13.8</v>
      </c>
      <c r="AW41" s="249"/>
      <c r="AX41" s="250">
        <v>14.5</v>
      </c>
      <c r="AY41" s="250"/>
      <c r="AZ41" s="250">
        <v>13.8</v>
      </c>
      <c r="BA41" s="250"/>
      <c r="BB41" s="250">
        <v>14.8</v>
      </c>
      <c r="BC41" s="252"/>
      <c r="BD41" s="250">
        <v>14.1</v>
      </c>
      <c r="BE41" s="252"/>
      <c r="BF41" s="250">
        <v>14.3</v>
      </c>
      <c r="BG41" s="252"/>
      <c r="BH41" s="250">
        <v>12.4</v>
      </c>
      <c r="BI41" s="252"/>
      <c r="BJ41" s="250">
        <v>14</v>
      </c>
      <c r="BK41" s="252"/>
      <c r="BL41" s="250">
        <v>15.1</v>
      </c>
      <c r="BM41" s="252"/>
      <c r="BN41" s="250">
        <v>14.6</v>
      </c>
      <c r="BO41" s="252"/>
      <c r="BP41" s="250">
        <v>14.9</v>
      </c>
      <c r="BQ41" s="252"/>
    </row>
    <row r="42" spans="1:145" ht="14.1" customHeight="1">
      <c r="A42" s="289" t="s">
        <v>105</v>
      </c>
      <c r="B42" s="289"/>
      <c r="C42" s="289"/>
      <c r="D42" s="12">
        <v>30.8</v>
      </c>
      <c r="E42" s="12"/>
      <c r="F42" s="12">
        <v>30.8</v>
      </c>
      <c r="G42" s="12"/>
      <c r="H42" s="12">
        <v>30</v>
      </c>
      <c r="I42" s="12"/>
      <c r="J42" s="12">
        <v>30.075618230124668</v>
      </c>
      <c r="K42" s="12"/>
      <c r="L42" s="12">
        <v>29.4</v>
      </c>
      <c r="M42" s="12"/>
      <c r="N42" s="12">
        <v>29.6</v>
      </c>
      <c r="O42" s="12"/>
      <c r="P42" s="12">
        <v>29.5</v>
      </c>
      <c r="Q42" s="12"/>
      <c r="R42" s="12">
        <v>30.075618230124668</v>
      </c>
      <c r="S42" s="10"/>
      <c r="T42" s="12">
        <v>31.1</v>
      </c>
      <c r="U42" s="10"/>
      <c r="V42" s="12">
        <v>33.200000000000003</v>
      </c>
      <c r="W42" s="12"/>
      <c r="X42" s="12">
        <v>32.5</v>
      </c>
      <c r="Y42" s="10"/>
      <c r="Z42" s="12">
        <v>31.1</v>
      </c>
      <c r="AA42" s="10"/>
      <c r="AB42" s="12">
        <v>31.9</v>
      </c>
      <c r="AC42" s="10"/>
      <c r="AD42" s="12">
        <v>31</v>
      </c>
      <c r="AE42" s="10"/>
      <c r="AF42" s="12">
        <v>30.6</v>
      </c>
      <c r="AG42" s="10"/>
      <c r="AH42" s="12">
        <v>30.7</v>
      </c>
      <c r="AI42" s="10"/>
      <c r="AJ42" s="12">
        <v>31.4</v>
      </c>
      <c r="AK42" s="10"/>
      <c r="AL42" s="12">
        <v>32.6</v>
      </c>
      <c r="AM42" s="10"/>
      <c r="AN42" s="226">
        <v>32.799999999999997</v>
      </c>
      <c r="AO42" s="10"/>
      <c r="AP42" s="226">
        <v>33.6</v>
      </c>
      <c r="AQ42" s="12"/>
      <c r="AR42" s="227">
        <v>33.4</v>
      </c>
      <c r="AS42" s="228"/>
      <c r="AT42" s="227">
        <v>35.1</v>
      </c>
      <c r="AU42" s="228"/>
      <c r="AV42" s="227">
        <v>36.4</v>
      </c>
      <c r="AW42" s="228"/>
      <c r="AX42" s="227">
        <v>36</v>
      </c>
      <c r="AY42" s="227"/>
      <c r="AZ42" s="227">
        <v>36.299999999999997</v>
      </c>
      <c r="BA42" s="227"/>
      <c r="BB42" s="227">
        <v>36.1</v>
      </c>
      <c r="BD42" s="227">
        <v>35.5</v>
      </c>
      <c r="BF42" s="227">
        <v>34.299999999999997</v>
      </c>
      <c r="BH42" s="227">
        <v>32.700000000000003</v>
      </c>
      <c r="BJ42" s="227">
        <v>33.200000000000003</v>
      </c>
      <c r="BL42" s="227">
        <v>33.5</v>
      </c>
      <c r="BN42" s="227">
        <v>34.5</v>
      </c>
      <c r="BP42" s="227">
        <v>33.799999999999997</v>
      </c>
    </row>
    <row r="43" spans="1:145" s="251" customFormat="1" ht="12" customHeight="1">
      <c r="A43" s="249"/>
      <c r="B43" s="248" t="s">
        <v>2</v>
      </c>
      <c r="C43" s="249"/>
      <c r="D43" s="250">
        <v>33.4</v>
      </c>
      <c r="E43" s="250"/>
      <c r="F43" s="250">
        <v>33.299999999999997</v>
      </c>
      <c r="G43" s="250"/>
      <c r="H43" s="250">
        <v>32.6</v>
      </c>
      <c r="I43" s="250"/>
      <c r="J43" s="250">
        <v>32.700000000000003</v>
      </c>
      <c r="K43" s="250"/>
      <c r="L43" s="250">
        <v>31.8</v>
      </c>
      <c r="M43" s="250"/>
      <c r="N43" s="250">
        <v>32.200000000000003</v>
      </c>
      <c r="O43" s="250"/>
      <c r="P43" s="250">
        <v>32</v>
      </c>
      <c r="Q43" s="250"/>
      <c r="R43" s="250">
        <v>32.52048417132216</v>
      </c>
      <c r="S43" s="249"/>
      <c r="T43" s="250">
        <v>33.5</v>
      </c>
      <c r="U43" s="249"/>
      <c r="V43" s="250">
        <v>35.799999999999997</v>
      </c>
      <c r="W43" s="250"/>
      <c r="X43" s="250">
        <v>34.9</v>
      </c>
      <c r="Y43" s="249"/>
      <c r="Z43" s="250">
        <v>33.5</v>
      </c>
      <c r="AA43" s="249"/>
      <c r="AB43" s="250">
        <v>34.4</v>
      </c>
      <c r="AC43" s="249"/>
      <c r="AD43" s="250">
        <v>33.6</v>
      </c>
      <c r="AE43" s="249"/>
      <c r="AF43" s="250">
        <v>33.1</v>
      </c>
      <c r="AG43" s="249"/>
      <c r="AH43" s="250">
        <v>34.1</v>
      </c>
      <c r="AI43" s="249"/>
      <c r="AJ43" s="250">
        <v>35.1</v>
      </c>
      <c r="AK43" s="249"/>
      <c r="AL43" s="250">
        <v>36.299999999999997</v>
      </c>
      <c r="AM43" s="249"/>
      <c r="AN43" s="250">
        <v>36.4</v>
      </c>
      <c r="AO43" s="249"/>
      <c r="AP43" s="250">
        <v>37.4</v>
      </c>
      <c r="AQ43" s="250"/>
      <c r="AR43" s="250">
        <v>37.200000000000003</v>
      </c>
      <c r="AS43" s="249"/>
      <c r="AT43" s="250">
        <v>38.9</v>
      </c>
      <c r="AU43" s="249"/>
      <c r="AV43" s="250">
        <v>40.1</v>
      </c>
      <c r="AW43" s="249"/>
      <c r="AX43" s="250">
        <v>39.799999999999997</v>
      </c>
      <c r="AY43" s="250"/>
      <c r="AZ43" s="250">
        <v>40</v>
      </c>
      <c r="BA43" s="250"/>
      <c r="BB43" s="250">
        <v>39.799999999999997</v>
      </c>
      <c r="BD43" s="250">
        <v>39.200000000000003</v>
      </c>
      <c r="BF43" s="250">
        <v>37.9</v>
      </c>
      <c r="BH43" s="250">
        <v>36.5</v>
      </c>
      <c r="BJ43" s="250">
        <v>36.799999999999997</v>
      </c>
      <c r="BL43" s="250">
        <v>37</v>
      </c>
      <c r="BN43" s="250">
        <v>38.1</v>
      </c>
      <c r="BP43" s="250">
        <v>37.200000000000003</v>
      </c>
    </row>
    <row r="44" spans="1:145" s="171" customFormat="1" ht="12.6" customHeight="1">
      <c r="A44" s="232"/>
      <c r="B44" s="233"/>
      <c r="C44" s="234" t="s">
        <v>75</v>
      </c>
      <c r="D44" s="235"/>
      <c r="E44" s="236"/>
      <c r="F44" s="235"/>
      <c r="G44" s="236"/>
      <c r="H44" s="236"/>
      <c r="I44" s="236"/>
      <c r="J44" s="236"/>
      <c r="K44" s="236"/>
      <c r="L44" s="236"/>
      <c r="M44" s="236"/>
      <c r="N44" s="236"/>
      <c r="O44" s="236"/>
      <c r="P44" s="236"/>
      <c r="Q44" s="236"/>
      <c r="R44" s="236"/>
      <c r="S44" s="235"/>
      <c r="T44" s="236"/>
      <c r="U44" s="235"/>
      <c r="V44" s="236"/>
      <c r="W44" s="236"/>
      <c r="X44" s="236"/>
      <c r="Y44" s="235"/>
      <c r="Z44" s="236"/>
      <c r="AA44" s="235"/>
      <c r="AB44" s="236"/>
      <c r="AC44" s="235"/>
      <c r="AD44" s="236"/>
      <c r="AE44" s="235"/>
      <c r="AF44" s="236"/>
      <c r="AG44" s="235"/>
      <c r="AH44" s="236"/>
      <c r="AI44" s="235"/>
      <c r="AJ44" s="236"/>
      <c r="AK44" s="235"/>
      <c r="AL44" s="236"/>
      <c r="AM44" s="235"/>
      <c r="AN44" s="236"/>
      <c r="AO44" s="235"/>
      <c r="AP44" s="236"/>
      <c r="AQ44" s="236"/>
      <c r="AR44" s="236">
        <v>42.8</v>
      </c>
      <c r="AS44" s="235"/>
      <c r="AT44" s="236">
        <v>44.5</v>
      </c>
      <c r="AU44" s="236"/>
      <c r="AV44" s="236">
        <v>45.9</v>
      </c>
      <c r="AW44" s="235"/>
      <c r="AX44" s="236">
        <v>44.4</v>
      </c>
      <c r="AY44" s="236"/>
      <c r="AZ44" s="236">
        <v>44.8</v>
      </c>
      <c r="BA44" s="236"/>
      <c r="BB44" s="236">
        <v>44.6</v>
      </c>
      <c r="BC44" s="253"/>
      <c r="BD44" s="236">
        <v>43.9</v>
      </c>
      <c r="BE44" s="253"/>
      <c r="BF44" s="236">
        <v>42.9</v>
      </c>
      <c r="BG44" s="253"/>
      <c r="BH44" s="236">
        <v>41</v>
      </c>
      <c r="BI44" s="253"/>
      <c r="BJ44" s="236">
        <v>42.3</v>
      </c>
      <c r="BK44" s="253"/>
      <c r="BL44" s="236">
        <v>43.5</v>
      </c>
      <c r="BM44" s="253"/>
      <c r="BN44" s="236">
        <v>44.2</v>
      </c>
      <c r="BO44" s="253"/>
      <c r="BP44" s="236">
        <v>42.4</v>
      </c>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row>
    <row r="45" spans="1:145" s="171" customFormat="1" ht="12.6" customHeight="1">
      <c r="A45" s="232"/>
      <c r="B45" s="233"/>
      <c r="C45" s="234" t="s">
        <v>76</v>
      </c>
      <c r="D45" s="235"/>
      <c r="E45" s="236"/>
      <c r="F45" s="235"/>
      <c r="G45" s="236"/>
      <c r="H45" s="236"/>
      <c r="I45" s="236"/>
      <c r="J45" s="236"/>
      <c r="K45" s="236"/>
      <c r="L45" s="236"/>
      <c r="M45" s="236"/>
      <c r="N45" s="236"/>
      <c r="O45" s="236"/>
      <c r="P45" s="236"/>
      <c r="Q45" s="236"/>
      <c r="R45" s="236"/>
      <c r="S45" s="235"/>
      <c r="T45" s="236"/>
      <c r="U45" s="235"/>
      <c r="V45" s="236"/>
      <c r="W45" s="236"/>
      <c r="X45" s="236"/>
      <c r="Y45" s="235"/>
      <c r="Z45" s="236"/>
      <c r="AA45" s="235"/>
      <c r="AB45" s="236"/>
      <c r="AC45" s="235"/>
      <c r="AD45" s="236"/>
      <c r="AE45" s="235"/>
      <c r="AF45" s="236"/>
      <c r="AG45" s="235"/>
      <c r="AH45" s="236"/>
      <c r="AI45" s="235"/>
      <c r="AJ45" s="236"/>
      <c r="AK45" s="235"/>
      <c r="AL45" s="236"/>
      <c r="AM45" s="235"/>
      <c r="AN45" s="236"/>
      <c r="AO45" s="235"/>
      <c r="AP45" s="236"/>
      <c r="AQ45" s="236"/>
      <c r="AR45" s="236">
        <v>29.3</v>
      </c>
      <c r="AS45" s="235"/>
      <c r="AT45" s="236">
        <v>30.7</v>
      </c>
      <c r="AU45" s="236"/>
      <c r="AV45" s="236">
        <v>31.8</v>
      </c>
      <c r="AW45" s="235"/>
      <c r="AX45" s="236">
        <v>33.1</v>
      </c>
      <c r="AY45" s="236"/>
      <c r="AZ45" s="236">
        <v>33.299999999999997</v>
      </c>
      <c r="BA45" s="236"/>
      <c r="BB45" s="236">
        <v>33.299999999999997</v>
      </c>
      <c r="BC45" s="253"/>
      <c r="BD45" s="236">
        <v>33</v>
      </c>
      <c r="BE45" s="253"/>
      <c r="BF45" s="236">
        <v>31.5</v>
      </c>
      <c r="BG45" s="253"/>
      <c r="BH45" s="236">
        <v>31</v>
      </c>
      <c r="BI45" s="253"/>
      <c r="BJ45" s="236">
        <v>30.4</v>
      </c>
      <c r="BK45" s="253"/>
      <c r="BL45" s="236">
        <v>29.3</v>
      </c>
      <c r="BM45" s="253"/>
      <c r="BN45" s="236">
        <v>30.6</v>
      </c>
      <c r="BO45" s="253"/>
      <c r="BP45" s="236">
        <v>30.7</v>
      </c>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row>
    <row r="46" spans="1:145" s="251" customFormat="1" ht="12.6" customHeight="1">
      <c r="A46" s="249"/>
      <c r="B46" s="248" t="s">
        <v>3</v>
      </c>
      <c r="C46" s="249"/>
      <c r="D46" s="250">
        <v>13.8</v>
      </c>
      <c r="E46" s="250"/>
      <c r="F46" s="250">
        <v>14.3</v>
      </c>
      <c r="G46" s="250"/>
      <c r="H46" s="250">
        <v>13</v>
      </c>
      <c r="I46" s="250"/>
      <c r="J46" s="250">
        <v>13.3</v>
      </c>
      <c r="K46" s="250"/>
      <c r="L46" s="250">
        <v>13.2</v>
      </c>
      <c r="M46" s="250"/>
      <c r="N46" s="250">
        <v>12.6</v>
      </c>
      <c r="O46" s="250"/>
      <c r="P46" s="250">
        <v>11.9</v>
      </c>
      <c r="Q46" s="250"/>
      <c r="R46" s="250">
        <v>12.482412060301508</v>
      </c>
      <c r="S46" s="249"/>
      <c r="T46" s="250">
        <v>13.2</v>
      </c>
      <c r="U46" s="249"/>
      <c r="V46" s="250">
        <v>13.2</v>
      </c>
      <c r="W46" s="250"/>
      <c r="X46" s="250">
        <v>13.5</v>
      </c>
      <c r="Y46" s="249"/>
      <c r="Z46" s="250">
        <v>13.5</v>
      </c>
      <c r="AA46" s="249"/>
      <c r="AB46" s="250">
        <v>13.1</v>
      </c>
      <c r="AC46" s="249"/>
      <c r="AD46" s="250">
        <v>12.5</v>
      </c>
      <c r="AE46" s="249"/>
      <c r="AF46" s="250">
        <v>12.3</v>
      </c>
      <c r="AG46" s="249"/>
      <c r="AH46" s="250">
        <v>11.5</v>
      </c>
      <c r="AI46" s="249"/>
      <c r="AJ46" s="250">
        <v>11.1</v>
      </c>
      <c r="AK46" s="249"/>
      <c r="AL46" s="250">
        <v>12</v>
      </c>
      <c r="AM46" s="249"/>
      <c r="AN46" s="250">
        <v>12</v>
      </c>
      <c r="AO46" s="249"/>
      <c r="AP46" s="250">
        <v>11.7</v>
      </c>
      <c r="AQ46" s="250"/>
      <c r="AR46" s="250">
        <v>11.4</v>
      </c>
      <c r="AS46" s="249"/>
      <c r="AT46" s="250">
        <v>12</v>
      </c>
      <c r="AU46" s="249"/>
      <c r="AV46" s="250">
        <v>13.6</v>
      </c>
      <c r="AW46" s="249"/>
      <c r="AX46" s="250">
        <v>12.9</v>
      </c>
      <c r="AY46" s="250"/>
      <c r="AZ46" s="250">
        <v>12.5</v>
      </c>
      <c r="BA46" s="250"/>
      <c r="BB46" s="250">
        <v>12.9</v>
      </c>
      <c r="BD46" s="250">
        <v>12.2</v>
      </c>
      <c r="BF46" s="250">
        <v>11.6</v>
      </c>
      <c r="BH46" s="250">
        <v>10.5</v>
      </c>
      <c r="BJ46" s="250">
        <v>11.4</v>
      </c>
      <c r="BL46" s="250">
        <v>11.6</v>
      </c>
      <c r="BN46" s="250">
        <v>12.6</v>
      </c>
      <c r="BP46" s="250">
        <v>12.5</v>
      </c>
    </row>
    <row r="47" spans="1:145" ht="3" customHeight="1">
      <c r="A47" s="86"/>
      <c r="B47" s="94"/>
      <c r="C47" s="86"/>
      <c r="D47" s="87"/>
      <c r="E47" s="87"/>
      <c r="F47" s="87"/>
      <c r="G47" s="87"/>
      <c r="H47" s="87"/>
      <c r="I47" s="87"/>
      <c r="J47" s="87"/>
      <c r="K47" s="87"/>
      <c r="L47" s="87"/>
      <c r="M47" s="87"/>
      <c r="N47" s="87"/>
      <c r="O47" s="87"/>
      <c r="P47" s="87"/>
      <c r="Q47" s="87"/>
      <c r="R47" s="87"/>
      <c r="S47" s="86"/>
      <c r="T47" s="87"/>
      <c r="U47" s="86"/>
      <c r="V47" s="87"/>
      <c r="W47" s="87"/>
      <c r="X47" s="87"/>
      <c r="Y47" s="86"/>
      <c r="Z47" s="87"/>
      <c r="AA47" s="86"/>
      <c r="AB47" s="87"/>
      <c r="AC47" s="86"/>
      <c r="AD47" s="87"/>
      <c r="AE47" s="86"/>
      <c r="AF47" s="87"/>
      <c r="AG47" s="86"/>
      <c r="AH47" s="87"/>
      <c r="AI47" s="86"/>
      <c r="AJ47" s="87"/>
      <c r="AK47" s="86"/>
      <c r="AL47" s="87"/>
      <c r="AM47" s="86"/>
      <c r="AN47" s="87"/>
      <c r="AO47" s="86"/>
      <c r="AP47" s="87"/>
      <c r="AQ47" s="87"/>
      <c r="AR47" s="87"/>
      <c r="AS47" s="86"/>
      <c r="AT47" s="87"/>
      <c r="AU47" s="86"/>
      <c r="AV47" s="87"/>
      <c r="AW47" s="86"/>
      <c r="AX47" s="87"/>
      <c r="AY47" s="87"/>
      <c r="AZ47" s="87"/>
      <c r="BA47" s="87"/>
      <c r="BB47" s="87"/>
      <c r="BD47" s="87"/>
      <c r="BF47" s="87"/>
      <c r="BH47" s="87"/>
      <c r="BJ47" s="87"/>
      <c r="BL47" s="87"/>
      <c r="BN47" s="87"/>
      <c r="BP47" s="87"/>
    </row>
    <row r="48" spans="1:145" s="261" customFormat="1" ht="14.25" customHeight="1">
      <c r="A48" s="291" t="s">
        <v>121</v>
      </c>
      <c r="B48" s="291"/>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1"/>
    </row>
    <row r="49" spans="1:69" s="259" customFormat="1" ht="14.25" customHeight="1">
      <c r="A49" s="292" t="s">
        <v>122</v>
      </c>
      <c r="B49" s="292"/>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row>
    <row r="50" spans="1:69" s="260" customFormat="1" ht="12" hidden="1" customHeight="1">
      <c r="A50" s="293" t="s">
        <v>106</v>
      </c>
      <c r="B50" s="293"/>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58"/>
    </row>
    <row r="51" spans="1:69" s="260" customFormat="1" ht="15.75">
      <c r="A51" s="293" t="s">
        <v>123</v>
      </c>
      <c r="B51" s="293"/>
      <c r="C51" s="293"/>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58"/>
    </row>
    <row r="52" spans="1:69" s="260" customFormat="1" ht="15.75" hidden="1">
      <c r="A52" s="281"/>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58"/>
    </row>
    <row r="53" spans="1:69" s="260" customFormat="1" ht="15.75">
      <c r="A53" s="293" t="s">
        <v>131</v>
      </c>
      <c r="B53" s="293"/>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c r="BK53" s="293"/>
      <c r="BL53" s="293"/>
      <c r="BM53" s="293"/>
      <c r="BN53" s="293"/>
      <c r="BO53" s="293"/>
      <c r="BP53" s="293"/>
      <c r="BQ53" s="258"/>
    </row>
    <row r="54" spans="1:69" s="153" customFormat="1" ht="13.5">
      <c r="A54" s="256"/>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c r="BA54" s="256"/>
      <c r="BB54" s="256"/>
      <c r="BC54" s="256"/>
      <c r="BD54" s="256"/>
      <c r="BE54" s="256"/>
      <c r="BF54" s="256"/>
      <c r="BG54"/>
      <c r="BH54" s="256"/>
      <c r="BI54"/>
      <c r="BJ54" s="256"/>
      <c r="BK54"/>
      <c r="BL54" s="256"/>
      <c r="BM54"/>
      <c r="BN54" s="256"/>
      <c r="BO54"/>
      <c r="BP54" s="256"/>
      <c r="BQ54"/>
    </row>
    <row r="55" spans="1:69">
      <c r="A55" s="288" t="s">
        <v>126</v>
      </c>
      <c r="B55" s="288"/>
      <c r="C55" s="288"/>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288"/>
      <c r="BH55" s="288"/>
      <c r="BI55" s="288"/>
      <c r="BJ55" s="288"/>
      <c r="BK55" s="288"/>
      <c r="BL55" s="288"/>
      <c r="BM55" s="288"/>
      <c r="BN55" s="288"/>
      <c r="BO55" s="288"/>
      <c r="BP55" s="288"/>
    </row>
    <row r="56" spans="1:69" s="83" customFormat="1">
      <c r="A56" s="288" t="s">
        <v>127</v>
      </c>
      <c r="B56" s="288"/>
      <c r="C56" s="288"/>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V56" s="91"/>
      <c r="AX56" s="91"/>
      <c r="AY56" s="91"/>
      <c r="AZ56" s="91"/>
      <c r="BA56" s="91"/>
      <c r="BB56" s="91"/>
      <c r="BC56"/>
      <c r="BD56" s="91"/>
      <c r="BE56"/>
      <c r="BF56" s="91"/>
      <c r="BG56"/>
      <c r="BH56" s="91"/>
      <c r="BI56"/>
      <c r="BJ56" s="91"/>
      <c r="BK56"/>
      <c r="BL56" s="91"/>
      <c r="BM56"/>
      <c r="BN56" s="91"/>
      <c r="BO56"/>
      <c r="BP56" s="91"/>
      <c r="BQ56"/>
    </row>
    <row r="57" spans="1:69" s="83" customForma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V57" s="91"/>
      <c r="AX57" s="91"/>
      <c r="AY57" s="91"/>
      <c r="AZ57" s="91"/>
      <c r="BA57" s="91"/>
      <c r="BB57" s="91"/>
      <c r="BC57"/>
      <c r="BD57" s="91"/>
      <c r="BE57"/>
      <c r="BF57" s="91"/>
      <c r="BG57"/>
      <c r="BH57" s="91"/>
      <c r="BI57"/>
      <c r="BJ57" s="91"/>
      <c r="BK57"/>
      <c r="BL57" s="91"/>
      <c r="BM57"/>
      <c r="BN57" s="91"/>
      <c r="BO57"/>
      <c r="BP57" s="91"/>
      <c r="BQ57"/>
    </row>
    <row r="58" spans="1:69" ht="15" customHeight="1">
      <c r="A58" s="3" t="s">
        <v>0</v>
      </c>
    </row>
    <row r="59" spans="1:69" ht="19.350000000000001" customHeight="1">
      <c r="A59" s="287" t="s">
        <v>102</v>
      </c>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287"/>
      <c r="BA59" s="287"/>
      <c r="BB59" s="287"/>
      <c r="BC59" s="287"/>
      <c r="BD59" s="287"/>
      <c r="BE59" s="287"/>
      <c r="BF59" s="287"/>
      <c r="BG59" s="287"/>
      <c r="BH59" s="287"/>
      <c r="BI59" s="287"/>
      <c r="BJ59" s="287"/>
      <c r="BK59" s="287"/>
      <c r="BL59" s="287"/>
      <c r="BM59" s="287"/>
      <c r="BN59" s="287"/>
      <c r="BO59" s="287"/>
      <c r="BP59" s="287"/>
    </row>
    <row r="60" spans="1:69" ht="15" customHeight="1">
      <c r="A60" s="288" t="s">
        <v>113</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7"/>
      <c r="BA60" s="7"/>
      <c r="BB60" s="7"/>
      <c r="BD60" s="7"/>
      <c r="BF60" s="7"/>
      <c r="BH60" s="7"/>
      <c r="BJ60" s="7"/>
      <c r="BL60" s="7"/>
      <c r="BN60" s="7"/>
      <c r="BP60" s="7"/>
    </row>
    <row r="61" spans="1:69" ht="15" customHeight="1">
      <c r="A61" s="17"/>
      <c r="B61" s="17"/>
      <c r="C61" s="4"/>
      <c r="D61" s="7"/>
      <c r="E61" s="7"/>
      <c r="F61" s="7"/>
      <c r="G61" s="7"/>
      <c r="H61" s="7"/>
      <c r="I61" s="7"/>
      <c r="J61" s="7"/>
      <c r="K61" s="7"/>
      <c r="L61" s="7"/>
      <c r="M61" s="7"/>
      <c r="N61" s="7"/>
      <c r="O61" s="7"/>
      <c r="P61" s="7"/>
      <c r="Q61" s="7"/>
      <c r="R61" s="7"/>
      <c r="S61" s="2"/>
      <c r="T61" s="7"/>
      <c r="U61" s="2"/>
      <c r="V61" s="7"/>
      <c r="W61" s="7"/>
      <c r="X61" s="7"/>
      <c r="Y61" s="2"/>
      <c r="Z61" s="18"/>
      <c r="AA61" s="2"/>
      <c r="AB61" s="18"/>
      <c r="AC61" s="2"/>
      <c r="AD61" s="18"/>
      <c r="AE61" s="2"/>
      <c r="AF61" s="18"/>
      <c r="AG61" s="2"/>
      <c r="AH61" s="18"/>
      <c r="AI61" s="2"/>
      <c r="AJ61" s="18"/>
      <c r="AK61" s="2"/>
      <c r="AL61" s="18"/>
      <c r="AM61" s="2"/>
      <c r="AN61" s="18"/>
      <c r="AO61" s="2"/>
      <c r="AP61" s="18"/>
      <c r="AQ61" s="18"/>
      <c r="AR61" s="18"/>
      <c r="AS61" s="2"/>
      <c r="AT61" s="18"/>
      <c r="AU61" s="2"/>
      <c r="AV61" s="18"/>
      <c r="AW61" s="2"/>
      <c r="AX61" s="18"/>
      <c r="AY61" s="18"/>
      <c r="AZ61" s="18"/>
      <c r="BA61" s="18"/>
      <c r="BB61" s="18"/>
      <c r="BD61" s="18"/>
      <c r="BF61" s="18"/>
      <c r="BH61" s="18"/>
      <c r="BJ61" s="18"/>
      <c r="BL61" s="18"/>
      <c r="BN61" s="18"/>
      <c r="BP61" s="18"/>
    </row>
    <row r="62" spans="1:69" ht="17.25" customHeight="1">
      <c r="A62" s="86"/>
      <c r="B62" s="94"/>
      <c r="C62" s="86"/>
      <c r="D62" s="87"/>
      <c r="E62" s="87"/>
      <c r="F62" s="87"/>
      <c r="G62" s="87"/>
      <c r="H62" s="87"/>
      <c r="I62" s="87"/>
      <c r="J62" s="87"/>
      <c r="K62" s="87"/>
      <c r="L62" s="87"/>
      <c r="M62" s="87"/>
      <c r="N62" s="87"/>
      <c r="O62" s="87"/>
      <c r="P62" s="87"/>
      <c r="Q62" s="87"/>
      <c r="R62" s="87"/>
      <c r="S62" s="86"/>
      <c r="T62" s="87"/>
      <c r="U62" s="86"/>
      <c r="V62" s="87"/>
      <c r="W62" s="87"/>
      <c r="X62" s="87"/>
      <c r="Y62" s="86"/>
      <c r="Z62" s="87"/>
      <c r="AA62" s="86"/>
      <c r="AB62" s="87"/>
      <c r="AC62" s="86"/>
      <c r="AD62" s="87"/>
      <c r="AE62" s="86"/>
      <c r="AF62" s="87"/>
      <c r="AG62" s="86"/>
      <c r="AH62" s="87"/>
      <c r="AI62" s="86"/>
      <c r="AJ62" s="87"/>
      <c r="AK62" s="86"/>
      <c r="AL62" s="87"/>
      <c r="AM62" s="86"/>
      <c r="AN62" s="87"/>
      <c r="AO62" s="86"/>
      <c r="AP62" s="87"/>
      <c r="AQ62" s="87"/>
      <c r="AR62" s="87"/>
      <c r="AS62" s="86"/>
      <c r="AT62" s="87"/>
      <c r="AU62" s="86"/>
      <c r="AV62" s="87"/>
      <c r="AW62" s="86"/>
      <c r="AX62" s="87"/>
      <c r="AY62" s="87"/>
      <c r="AZ62" s="87"/>
      <c r="BA62" s="87"/>
      <c r="BB62" s="87"/>
      <c r="BD62" s="87"/>
      <c r="BF62" s="87"/>
      <c r="BH62" s="87"/>
      <c r="BJ62" s="87"/>
      <c r="BL62" s="87"/>
      <c r="BN62" s="87"/>
      <c r="BP62" s="87"/>
    </row>
    <row r="63" spans="1:69" ht="17.25" customHeight="1">
      <c r="A63" s="86"/>
      <c r="B63" s="94"/>
      <c r="C63" s="86"/>
      <c r="D63" s="87"/>
      <c r="E63" s="87"/>
      <c r="F63" s="87"/>
      <c r="G63" s="87"/>
      <c r="H63" s="87"/>
      <c r="I63" s="87"/>
      <c r="J63" s="87"/>
      <c r="K63" s="87"/>
      <c r="L63" s="87"/>
      <c r="M63" s="87"/>
      <c r="N63" s="87"/>
      <c r="O63" s="87"/>
      <c r="P63" s="87"/>
      <c r="Q63" s="87"/>
      <c r="R63" s="87"/>
      <c r="S63" s="86"/>
      <c r="T63" s="87"/>
      <c r="U63" s="86"/>
      <c r="V63" s="87"/>
      <c r="W63" s="87"/>
      <c r="X63" s="87"/>
      <c r="Y63" s="86"/>
      <c r="Z63" s="87"/>
      <c r="AA63" s="86"/>
      <c r="AB63" s="87"/>
      <c r="AC63" s="86"/>
      <c r="AD63" s="87"/>
      <c r="AE63" s="86"/>
      <c r="AF63" s="87"/>
      <c r="AG63" s="86"/>
      <c r="AH63" s="87"/>
      <c r="AI63" s="86"/>
      <c r="AJ63" s="87"/>
      <c r="AK63" s="86"/>
      <c r="AL63" s="87"/>
      <c r="AM63" s="86"/>
      <c r="AN63" s="87"/>
      <c r="AO63" s="86"/>
      <c r="AP63" s="87"/>
      <c r="AQ63" s="87"/>
      <c r="AR63" s="87"/>
      <c r="AS63" s="86"/>
      <c r="AT63" s="87"/>
      <c r="AU63" s="86"/>
      <c r="AV63" s="87"/>
      <c r="AW63" s="86"/>
      <c r="AX63" s="87"/>
      <c r="AY63" s="87"/>
      <c r="AZ63" s="87"/>
      <c r="BA63" s="87"/>
      <c r="BB63" s="87"/>
      <c r="BD63" s="87"/>
      <c r="BF63" s="87"/>
      <c r="BH63" s="87"/>
      <c r="BJ63" s="87"/>
      <c r="BL63" s="87"/>
      <c r="BN63" s="87"/>
      <c r="BP63" s="87"/>
    </row>
    <row r="64" spans="1:69" ht="17.25" customHeight="1">
      <c r="A64" s="86"/>
      <c r="B64" s="94"/>
      <c r="C64" s="86"/>
      <c r="D64" s="87"/>
      <c r="E64" s="87"/>
      <c r="F64" s="87"/>
      <c r="G64" s="87"/>
      <c r="H64" s="87"/>
      <c r="I64" s="87"/>
      <c r="J64" s="87"/>
      <c r="K64" s="87"/>
      <c r="L64" s="87"/>
      <c r="M64" s="87"/>
      <c r="N64" s="87"/>
      <c r="O64" s="87"/>
      <c r="P64" s="87"/>
      <c r="Q64" s="87"/>
      <c r="R64" s="87"/>
      <c r="S64" s="86"/>
      <c r="T64" s="87"/>
      <c r="U64" s="86"/>
      <c r="V64" s="87"/>
      <c r="W64" s="87"/>
      <c r="X64" s="87"/>
      <c r="Y64" s="86"/>
      <c r="Z64" s="87"/>
      <c r="AA64" s="86"/>
      <c r="AB64" s="87"/>
      <c r="AC64" s="86"/>
      <c r="AD64" s="87"/>
      <c r="AE64" s="86"/>
      <c r="AF64" s="87"/>
      <c r="AG64" s="86"/>
      <c r="AH64" s="87"/>
      <c r="AI64" s="86"/>
      <c r="AJ64" s="87"/>
      <c r="AK64" s="86"/>
      <c r="AL64" s="87"/>
      <c r="AM64" s="86"/>
      <c r="AN64" s="87"/>
      <c r="AO64" s="86"/>
      <c r="AP64" s="87"/>
      <c r="AQ64" s="87"/>
      <c r="AR64" s="87"/>
      <c r="AS64" s="86"/>
      <c r="AT64" s="87"/>
      <c r="AU64" s="86"/>
      <c r="AV64" s="87"/>
      <c r="AW64" s="86"/>
      <c r="AX64" s="87"/>
      <c r="AY64" s="87"/>
      <c r="AZ64" s="87"/>
      <c r="BA64" s="87"/>
      <c r="BB64" s="87"/>
      <c r="BD64" s="87"/>
      <c r="BF64" s="87"/>
      <c r="BH64" s="87"/>
      <c r="BJ64" s="87"/>
      <c r="BL64" s="87"/>
      <c r="BN64" s="87"/>
      <c r="BP64" s="87"/>
    </row>
    <row r="65" spans="1:68" ht="17.25" customHeight="1">
      <c r="A65" s="86"/>
      <c r="B65" s="94"/>
      <c r="C65" s="86"/>
      <c r="D65" s="87"/>
      <c r="E65" s="87"/>
      <c r="F65" s="87"/>
      <c r="G65" s="87"/>
      <c r="H65" s="87"/>
      <c r="I65" s="87"/>
      <c r="J65" s="87"/>
      <c r="K65" s="87"/>
      <c r="L65" s="87"/>
      <c r="M65" s="87"/>
      <c r="N65" s="87"/>
      <c r="O65" s="87"/>
      <c r="P65" s="87"/>
      <c r="Q65" s="87"/>
      <c r="R65" s="87"/>
      <c r="S65" s="86"/>
      <c r="T65" s="87"/>
      <c r="U65" s="86"/>
      <c r="V65" s="87"/>
      <c r="W65" s="87"/>
      <c r="X65" s="87"/>
      <c r="Y65" s="86"/>
      <c r="Z65" s="87"/>
      <c r="AA65" s="86"/>
      <c r="AB65" s="87"/>
      <c r="AC65" s="86"/>
      <c r="AD65" s="87"/>
      <c r="AE65" s="86"/>
      <c r="AF65" s="87"/>
      <c r="AG65" s="86"/>
      <c r="AH65" s="87"/>
      <c r="AI65" s="86"/>
      <c r="AJ65" s="87"/>
      <c r="AK65" s="86"/>
      <c r="AL65" s="87"/>
      <c r="AM65" s="86"/>
      <c r="AN65" s="87"/>
      <c r="AO65" s="86"/>
      <c r="AP65" s="87"/>
      <c r="AQ65" s="87"/>
      <c r="AR65" s="87"/>
      <c r="AS65" s="86"/>
      <c r="AT65" s="87"/>
      <c r="AU65" s="86"/>
      <c r="AV65" s="87"/>
      <c r="AW65" s="86"/>
      <c r="AX65" s="87"/>
      <c r="AY65" s="87"/>
      <c r="AZ65" s="87"/>
      <c r="BA65" s="87"/>
      <c r="BB65" s="87"/>
      <c r="BD65" s="87"/>
      <c r="BF65" s="87"/>
      <c r="BH65" s="87"/>
      <c r="BJ65" s="87"/>
      <c r="BL65" s="87"/>
      <c r="BN65" s="87"/>
      <c r="BP65" s="87"/>
    </row>
    <row r="66" spans="1:68" ht="17.25" customHeight="1">
      <c r="A66" s="86"/>
      <c r="B66" s="94"/>
      <c r="C66" s="86"/>
      <c r="D66" s="87"/>
      <c r="E66" s="87"/>
      <c r="F66" s="87"/>
      <c r="G66" s="87"/>
      <c r="H66" s="87"/>
      <c r="I66" s="87"/>
      <c r="J66" s="87"/>
      <c r="K66" s="87"/>
      <c r="L66" s="87"/>
      <c r="M66" s="87"/>
      <c r="N66" s="87"/>
      <c r="O66" s="87"/>
      <c r="P66" s="87"/>
      <c r="Q66" s="87"/>
      <c r="R66" s="87"/>
      <c r="S66" s="86"/>
      <c r="T66" s="87"/>
      <c r="U66" s="86"/>
      <c r="V66" s="87"/>
      <c r="W66" s="87"/>
      <c r="X66" s="87"/>
      <c r="Y66" s="86"/>
      <c r="Z66" s="87"/>
      <c r="AA66" s="86"/>
      <c r="AB66" s="87"/>
      <c r="AC66" s="86"/>
      <c r="AD66" s="87"/>
      <c r="AE66" s="86"/>
      <c r="AF66" s="87"/>
      <c r="AG66" s="86"/>
      <c r="AH66" s="87"/>
      <c r="AI66" s="86"/>
      <c r="AJ66" s="87"/>
      <c r="AK66" s="86"/>
      <c r="AL66" s="87"/>
      <c r="AM66" s="86"/>
      <c r="AN66" s="87"/>
      <c r="AO66" s="86"/>
      <c r="AP66" s="87"/>
      <c r="AQ66" s="87"/>
      <c r="AR66" s="87"/>
      <c r="AS66" s="86"/>
      <c r="AT66" s="87"/>
      <c r="AU66" s="86"/>
      <c r="AV66" s="87"/>
      <c r="AW66" s="86"/>
      <c r="AX66" s="87"/>
      <c r="AY66" s="87"/>
      <c r="AZ66" s="87"/>
      <c r="BA66" s="87"/>
      <c r="BB66" s="87"/>
      <c r="BD66" s="87"/>
      <c r="BF66" s="87"/>
      <c r="BH66" s="87"/>
      <c r="BJ66" s="87"/>
      <c r="BL66" s="87"/>
      <c r="BN66" s="87"/>
      <c r="BP66" s="87"/>
    </row>
    <row r="67" spans="1:68" ht="17.25" customHeight="1">
      <c r="A67" s="86"/>
      <c r="B67" s="94"/>
      <c r="C67" s="86"/>
      <c r="D67" s="87"/>
      <c r="E67" s="87"/>
      <c r="F67" s="87"/>
      <c r="G67" s="87"/>
      <c r="H67" s="87"/>
      <c r="I67" s="87"/>
      <c r="J67" s="87"/>
      <c r="K67" s="87"/>
      <c r="L67" s="87"/>
      <c r="M67" s="87"/>
      <c r="N67" s="87"/>
      <c r="O67" s="87"/>
      <c r="P67" s="87"/>
      <c r="Q67" s="87"/>
      <c r="R67" s="87"/>
      <c r="S67" s="86"/>
      <c r="T67" s="87"/>
      <c r="U67" s="86"/>
      <c r="V67" s="87"/>
      <c r="W67" s="87"/>
      <c r="X67" s="87"/>
      <c r="Y67" s="86"/>
      <c r="Z67" s="87"/>
      <c r="AA67" s="86"/>
      <c r="AB67" s="87"/>
      <c r="AC67" s="86"/>
      <c r="AD67" s="87"/>
      <c r="AE67" s="86"/>
      <c r="AF67" s="87"/>
      <c r="AG67" s="86"/>
      <c r="AH67" s="87"/>
      <c r="AI67" s="86"/>
      <c r="AJ67" s="87"/>
      <c r="AK67" s="86"/>
      <c r="AL67" s="87"/>
      <c r="AM67" s="86"/>
      <c r="AN67" s="87"/>
      <c r="AO67" s="86"/>
      <c r="AP67" s="87"/>
      <c r="AQ67" s="87"/>
      <c r="AR67" s="87"/>
      <c r="AS67" s="86"/>
      <c r="AT67" s="87"/>
      <c r="AU67" s="86"/>
      <c r="AV67" s="87"/>
      <c r="AW67" s="86"/>
      <c r="AX67" s="87"/>
      <c r="AY67" s="87"/>
      <c r="AZ67" s="87"/>
      <c r="BA67" s="87"/>
      <c r="BB67" s="87"/>
      <c r="BD67" s="87"/>
      <c r="BF67" s="87"/>
      <c r="BH67" s="87"/>
      <c r="BJ67" s="87"/>
      <c r="BL67" s="87"/>
      <c r="BN67" s="87"/>
      <c r="BP67" s="87"/>
    </row>
    <row r="68" spans="1:68" ht="17.25" customHeight="1">
      <c r="A68" s="86"/>
      <c r="B68" s="94"/>
      <c r="C68" s="86"/>
      <c r="D68" s="87"/>
      <c r="E68" s="87"/>
      <c r="F68" s="87"/>
      <c r="G68" s="87"/>
      <c r="H68" s="87"/>
      <c r="I68" s="87"/>
      <c r="J68" s="87"/>
      <c r="K68" s="87"/>
      <c r="L68" s="87"/>
      <c r="M68" s="87"/>
      <c r="N68" s="87"/>
      <c r="O68" s="87"/>
      <c r="P68" s="87"/>
      <c r="Q68" s="87"/>
      <c r="R68" s="87"/>
      <c r="S68" s="86"/>
      <c r="T68" s="87"/>
      <c r="U68" s="86"/>
      <c r="V68" s="87"/>
      <c r="W68" s="87"/>
      <c r="X68" s="87"/>
      <c r="Y68" s="86"/>
      <c r="Z68" s="87"/>
      <c r="AA68" s="86"/>
      <c r="AB68" s="87"/>
      <c r="AC68" s="86"/>
      <c r="AD68" s="87"/>
      <c r="AE68" s="86"/>
      <c r="AF68" s="87"/>
      <c r="AG68" s="86"/>
      <c r="AH68" s="87"/>
      <c r="AI68" s="86"/>
      <c r="AJ68" s="87"/>
      <c r="AK68" s="86"/>
      <c r="AL68" s="87"/>
      <c r="AM68" s="86"/>
      <c r="AN68" s="87"/>
      <c r="AO68" s="86"/>
      <c r="AP68" s="87"/>
      <c r="AQ68" s="87"/>
      <c r="AR68" s="87"/>
      <c r="AS68" s="86"/>
      <c r="AT68" s="87"/>
      <c r="AU68" s="86"/>
      <c r="AV68" s="87"/>
      <c r="AW68" s="86"/>
      <c r="AX68" s="87"/>
      <c r="AY68" s="87"/>
      <c r="AZ68" s="87"/>
      <c r="BA68" s="87"/>
      <c r="BB68" s="87"/>
      <c r="BD68" s="87"/>
      <c r="BF68" s="87"/>
      <c r="BH68" s="87"/>
      <c r="BJ68" s="87"/>
      <c r="BL68" s="87"/>
      <c r="BN68" s="87"/>
      <c r="BP68" s="87"/>
    </row>
    <row r="69" spans="1:68" ht="17.25" customHeight="1">
      <c r="A69" s="86"/>
      <c r="B69" s="94"/>
      <c r="C69" s="86"/>
      <c r="D69" s="87"/>
      <c r="E69" s="87"/>
      <c r="F69" s="87"/>
      <c r="G69" s="87"/>
      <c r="H69" s="87"/>
      <c r="I69" s="87"/>
      <c r="J69" s="87"/>
      <c r="K69" s="87"/>
      <c r="L69" s="87"/>
      <c r="M69" s="87"/>
      <c r="N69" s="87"/>
      <c r="O69" s="87"/>
      <c r="P69" s="87"/>
      <c r="Q69" s="87"/>
      <c r="R69" s="87"/>
      <c r="S69" s="86"/>
      <c r="T69" s="87"/>
      <c r="U69" s="86"/>
      <c r="V69" s="87"/>
      <c r="W69" s="87"/>
      <c r="X69" s="87"/>
      <c r="Y69" s="86"/>
      <c r="Z69" s="87"/>
      <c r="AA69" s="86"/>
      <c r="AB69" s="87"/>
      <c r="AC69" s="86"/>
      <c r="AD69" s="87"/>
      <c r="AE69" s="86"/>
      <c r="AF69" s="87"/>
      <c r="AG69" s="86"/>
      <c r="AH69" s="87"/>
      <c r="AI69" s="86"/>
      <c r="AJ69" s="87"/>
      <c r="AK69" s="86"/>
      <c r="AL69" s="87"/>
      <c r="AM69" s="86"/>
      <c r="AN69" s="87"/>
      <c r="AO69" s="86"/>
      <c r="AP69" s="87"/>
      <c r="AQ69" s="87"/>
      <c r="AR69" s="87"/>
      <c r="AS69" s="86"/>
      <c r="AT69" s="87"/>
      <c r="AU69" s="86"/>
      <c r="AV69" s="87"/>
      <c r="AW69" s="86"/>
      <c r="AX69" s="87"/>
      <c r="AY69" s="87"/>
      <c r="AZ69" s="87"/>
      <c r="BA69" s="87"/>
      <c r="BB69" s="87"/>
      <c r="BD69" s="87"/>
      <c r="BF69" s="87"/>
      <c r="BH69" s="87"/>
      <c r="BJ69" s="87"/>
      <c r="BL69" s="87"/>
      <c r="BN69" s="87"/>
      <c r="BP69" s="87"/>
    </row>
    <row r="70" spans="1:68" ht="17.25" customHeight="1">
      <c r="A70" s="86"/>
      <c r="B70" s="94"/>
      <c r="C70" s="86"/>
      <c r="D70" s="87"/>
      <c r="E70" s="87"/>
      <c r="F70" s="87"/>
      <c r="G70" s="87"/>
      <c r="H70" s="87"/>
      <c r="I70" s="87"/>
      <c r="J70" s="87"/>
      <c r="K70" s="87"/>
      <c r="L70" s="87"/>
      <c r="M70" s="87"/>
      <c r="N70" s="87"/>
      <c r="O70" s="87"/>
      <c r="P70" s="87"/>
      <c r="Q70" s="87"/>
      <c r="R70" s="87"/>
      <c r="S70" s="86"/>
      <c r="T70" s="87"/>
      <c r="U70" s="86"/>
      <c r="V70" s="87"/>
      <c r="W70" s="87"/>
      <c r="X70" s="87"/>
      <c r="Y70" s="86"/>
      <c r="Z70" s="87"/>
      <c r="AA70" s="86"/>
      <c r="AB70" s="87"/>
      <c r="AC70" s="86"/>
      <c r="AD70" s="87"/>
      <c r="AE70" s="86"/>
      <c r="AF70" s="87"/>
      <c r="AG70" s="86"/>
      <c r="AH70" s="87"/>
      <c r="AI70" s="86"/>
      <c r="AJ70" s="87"/>
      <c r="AK70" s="86"/>
      <c r="AL70" s="87"/>
      <c r="AM70" s="86"/>
      <c r="AN70" s="87"/>
      <c r="AO70" s="86"/>
      <c r="AP70" s="87"/>
      <c r="AQ70" s="87"/>
      <c r="AR70" s="87"/>
      <c r="AS70" s="86"/>
      <c r="AT70" s="87"/>
      <c r="AU70" s="86"/>
      <c r="AV70" s="87"/>
      <c r="AW70" s="86"/>
      <c r="AX70" s="87"/>
      <c r="AY70" s="87"/>
      <c r="AZ70" s="87"/>
      <c r="BA70" s="87"/>
      <c r="BB70" s="87"/>
      <c r="BD70" s="87"/>
      <c r="BF70" s="87"/>
      <c r="BH70" s="87"/>
      <c r="BJ70" s="87"/>
      <c r="BL70" s="87"/>
      <c r="BN70" s="87"/>
      <c r="BP70" s="87"/>
    </row>
    <row r="71" spans="1:68" ht="17.25" customHeight="1">
      <c r="A71" s="86"/>
      <c r="B71" s="94"/>
      <c r="C71" s="86"/>
      <c r="D71" s="87"/>
      <c r="E71" s="87"/>
      <c r="F71" s="87"/>
      <c r="G71" s="87"/>
      <c r="H71" s="87"/>
      <c r="I71" s="87"/>
      <c r="J71" s="87"/>
      <c r="K71" s="87"/>
      <c r="L71" s="87"/>
      <c r="M71" s="87"/>
      <c r="N71" s="87"/>
      <c r="O71" s="87"/>
      <c r="P71" s="87"/>
      <c r="Q71" s="87"/>
      <c r="R71" s="87"/>
      <c r="S71" s="86"/>
      <c r="T71" s="87"/>
      <c r="U71" s="86"/>
      <c r="V71" s="87"/>
      <c r="W71" s="87"/>
      <c r="X71" s="87"/>
      <c r="Y71" s="86"/>
      <c r="Z71" s="87"/>
      <c r="AA71" s="86"/>
      <c r="AB71" s="87"/>
      <c r="AC71" s="86"/>
      <c r="AD71" s="87"/>
      <c r="AE71" s="86"/>
      <c r="AF71" s="87"/>
      <c r="AG71" s="86"/>
      <c r="AH71" s="87"/>
      <c r="AI71" s="86"/>
      <c r="AJ71" s="87"/>
      <c r="AK71" s="86"/>
      <c r="AL71" s="87"/>
      <c r="AM71" s="86"/>
      <c r="AN71" s="87"/>
      <c r="AO71" s="86"/>
      <c r="AP71" s="87"/>
      <c r="AQ71" s="87"/>
      <c r="AR71" s="87"/>
      <c r="AS71" s="86"/>
      <c r="AT71" s="87"/>
      <c r="AU71" s="86"/>
      <c r="AV71" s="87"/>
      <c r="AW71" s="86"/>
      <c r="AX71" s="87"/>
      <c r="AY71" s="87"/>
      <c r="AZ71" s="87"/>
      <c r="BA71" s="87"/>
      <c r="BB71" s="87"/>
      <c r="BD71" s="87"/>
      <c r="BF71" s="87"/>
      <c r="BH71" s="87"/>
      <c r="BJ71" s="87"/>
      <c r="BL71" s="87"/>
      <c r="BN71" s="87"/>
      <c r="BP71" s="87"/>
    </row>
    <row r="72" spans="1:68" ht="17.25" customHeight="1">
      <c r="A72" s="86"/>
      <c r="B72" s="94"/>
      <c r="C72" s="86"/>
      <c r="D72" s="87"/>
      <c r="E72" s="87"/>
      <c r="F72" s="87"/>
      <c r="G72" s="87"/>
      <c r="H72" s="87"/>
      <c r="I72" s="87"/>
      <c r="J72" s="87"/>
      <c r="K72" s="87"/>
      <c r="L72" s="87"/>
      <c r="M72" s="87"/>
      <c r="N72" s="87"/>
      <c r="O72" s="87"/>
      <c r="P72" s="87"/>
      <c r="Q72" s="87"/>
      <c r="R72" s="87"/>
      <c r="S72" s="86"/>
      <c r="T72" s="87"/>
      <c r="U72" s="86"/>
      <c r="V72" s="87"/>
      <c r="W72" s="87"/>
      <c r="X72" s="87"/>
      <c r="Y72" s="86"/>
      <c r="Z72" s="87"/>
      <c r="AA72" s="86"/>
      <c r="AB72" s="87"/>
      <c r="AC72" s="86"/>
      <c r="AD72" s="87"/>
      <c r="AE72" s="86"/>
      <c r="AF72" s="87"/>
      <c r="AG72" s="86"/>
      <c r="AH72" s="87"/>
      <c r="AI72" s="86"/>
      <c r="AJ72" s="87"/>
      <c r="AK72" s="86"/>
      <c r="AL72" s="87"/>
      <c r="AM72" s="86"/>
      <c r="AN72" s="87"/>
      <c r="AO72" s="86"/>
      <c r="AP72" s="87"/>
      <c r="AQ72" s="87"/>
      <c r="AR72" s="87"/>
      <c r="AS72" s="86"/>
      <c r="AT72" s="87"/>
      <c r="AU72" s="86"/>
      <c r="AV72" s="87"/>
      <c r="AW72" s="86"/>
      <c r="AX72" s="87"/>
      <c r="AY72" s="87"/>
      <c r="AZ72" s="87"/>
      <c r="BA72" s="87"/>
      <c r="BB72" s="87"/>
      <c r="BD72" s="87"/>
      <c r="BF72" s="87"/>
      <c r="BH72" s="87"/>
      <c r="BJ72" s="87"/>
      <c r="BL72" s="87"/>
      <c r="BN72" s="87"/>
      <c r="BP72" s="87"/>
    </row>
    <row r="73" spans="1:68" ht="17.25" customHeight="1">
      <c r="A73" s="86"/>
      <c r="B73" s="94"/>
      <c r="C73" s="86"/>
      <c r="D73" s="87"/>
      <c r="E73" s="87"/>
      <c r="F73" s="87"/>
      <c r="G73" s="87"/>
      <c r="H73" s="87"/>
      <c r="I73" s="87"/>
      <c r="J73" s="87"/>
      <c r="K73" s="87"/>
      <c r="L73" s="87"/>
      <c r="M73" s="87"/>
      <c r="N73" s="87"/>
      <c r="O73" s="87"/>
      <c r="P73" s="87"/>
      <c r="Q73" s="87"/>
      <c r="R73" s="87"/>
      <c r="S73" s="86"/>
      <c r="T73" s="87"/>
      <c r="U73" s="86"/>
      <c r="V73" s="87"/>
      <c r="W73" s="87"/>
      <c r="X73" s="87"/>
      <c r="Y73" s="86"/>
      <c r="Z73" s="87"/>
      <c r="AA73" s="86"/>
      <c r="AB73" s="87"/>
      <c r="AC73" s="86"/>
      <c r="AD73" s="87"/>
      <c r="AE73" s="86"/>
      <c r="AF73" s="87"/>
      <c r="AG73" s="86"/>
      <c r="AH73" s="87"/>
      <c r="AI73" s="86"/>
      <c r="AJ73" s="87"/>
      <c r="AK73" s="86"/>
      <c r="AL73" s="87"/>
      <c r="AM73" s="86"/>
      <c r="AN73" s="87"/>
      <c r="AO73" s="86"/>
      <c r="AP73" s="87"/>
      <c r="AQ73" s="87"/>
      <c r="AR73" s="87"/>
      <c r="AS73" s="86"/>
      <c r="AT73" s="87"/>
      <c r="AU73" s="86"/>
      <c r="AV73" s="87"/>
      <c r="AW73" s="86"/>
      <c r="AX73" s="87"/>
      <c r="AY73" s="87"/>
      <c r="AZ73" s="87"/>
      <c r="BA73" s="87"/>
      <c r="BB73" s="87"/>
      <c r="BD73" s="87"/>
      <c r="BF73" s="87"/>
      <c r="BH73" s="87"/>
      <c r="BJ73" s="87"/>
      <c r="BL73" s="87"/>
      <c r="BN73" s="87"/>
      <c r="BP73" s="87"/>
    </row>
    <row r="74" spans="1:68" ht="17.25" customHeight="1">
      <c r="A74" s="86"/>
      <c r="B74" s="94"/>
      <c r="C74" s="86"/>
      <c r="D74" s="87"/>
      <c r="E74" s="87"/>
      <c r="F74" s="87"/>
      <c r="G74" s="87"/>
      <c r="H74" s="87"/>
      <c r="I74" s="87"/>
      <c r="J74" s="87"/>
      <c r="K74" s="87"/>
      <c r="L74" s="87"/>
      <c r="M74" s="87"/>
      <c r="N74" s="87"/>
      <c r="O74" s="87"/>
      <c r="P74" s="87"/>
      <c r="Q74" s="87"/>
      <c r="R74" s="87"/>
      <c r="S74" s="86"/>
      <c r="T74" s="87"/>
      <c r="U74" s="86"/>
      <c r="V74" s="87"/>
      <c r="W74" s="87"/>
      <c r="X74" s="87"/>
      <c r="Y74" s="86"/>
      <c r="Z74" s="87"/>
      <c r="AA74" s="86"/>
      <c r="AB74" s="87"/>
      <c r="AC74" s="86"/>
      <c r="AD74" s="87"/>
      <c r="AE74" s="86"/>
      <c r="AF74" s="87"/>
      <c r="AG74" s="86"/>
      <c r="AH74" s="87"/>
      <c r="AI74" s="86"/>
      <c r="AJ74" s="87"/>
      <c r="AK74" s="86"/>
      <c r="AL74" s="87"/>
      <c r="AM74" s="86"/>
      <c r="AN74" s="87"/>
      <c r="AO74" s="86"/>
      <c r="AP74" s="87"/>
      <c r="AQ74" s="87"/>
      <c r="AR74" s="87"/>
      <c r="AS74" s="86"/>
      <c r="AT74" s="87"/>
      <c r="AU74" s="86"/>
      <c r="AV74" s="87"/>
      <c r="AW74" s="86"/>
      <c r="AX74" s="87"/>
      <c r="AY74" s="87"/>
      <c r="AZ74" s="87"/>
      <c r="BA74" s="87"/>
      <c r="BB74" s="87"/>
      <c r="BD74" s="87"/>
      <c r="BF74" s="87"/>
      <c r="BH74" s="87"/>
      <c r="BJ74" s="87"/>
      <c r="BL74" s="87"/>
      <c r="BN74" s="87"/>
      <c r="BP74" s="87"/>
    </row>
    <row r="75" spans="1:68" ht="17.25" customHeight="1">
      <c r="A75" s="86"/>
      <c r="B75" s="94"/>
      <c r="C75" s="86"/>
      <c r="D75" s="87"/>
      <c r="E75" s="87"/>
      <c r="F75" s="87"/>
      <c r="G75" s="87"/>
      <c r="H75" s="87"/>
      <c r="I75" s="87"/>
      <c r="J75" s="87"/>
      <c r="K75" s="87"/>
      <c r="L75" s="87"/>
      <c r="M75" s="87"/>
      <c r="N75" s="87"/>
      <c r="O75" s="87"/>
      <c r="P75" s="87"/>
      <c r="Q75" s="87"/>
      <c r="R75" s="87"/>
      <c r="S75" s="86"/>
      <c r="T75" s="87"/>
      <c r="U75" s="86"/>
      <c r="V75" s="87"/>
      <c r="W75" s="87"/>
      <c r="X75" s="87"/>
      <c r="Y75" s="86"/>
      <c r="Z75" s="87"/>
      <c r="AA75" s="86"/>
      <c r="AB75" s="87"/>
      <c r="AC75" s="86"/>
      <c r="AD75" s="87"/>
      <c r="AE75" s="86"/>
      <c r="AF75" s="87"/>
      <c r="AG75" s="86"/>
      <c r="AH75" s="87"/>
      <c r="AI75" s="86"/>
      <c r="AJ75" s="87"/>
      <c r="AK75" s="86"/>
      <c r="AL75" s="87"/>
      <c r="AM75" s="86"/>
      <c r="AN75" s="87"/>
      <c r="AO75" s="86"/>
      <c r="AP75" s="87"/>
      <c r="AQ75" s="87"/>
      <c r="AR75" s="87"/>
      <c r="AS75" s="86"/>
      <c r="AT75" s="87"/>
      <c r="AU75" s="86"/>
      <c r="AV75" s="87"/>
      <c r="AW75" s="86"/>
      <c r="AX75" s="87"/>
      <c r="AY75" s="87"/>
      <c r="AZ75" s="87"/>
      <c r="BA75" s="87"/>
      <c r="BB75" s="87"/>
      <c r="BD75" s="87"/>
      <c r="BF75" s="87"/>
      <c r="BH75" s="87"/>
      <c r="BJ75" s="87"/>
      <c r="BL75" s="87"/>
      <c r="BN75" s="87"/>
      <c r="BP75" s="87"/>
    </row>
    <row r="76" spans="1:68" ht="17.25" customHeight="1">
      <c r="A76" s="86"/>
      <c r="B76" s="94"/>
      <c r="C76" s="86"/>
      <c r="D76" s="87"/>
      <c r="E76" s="87"/>
      <c r="F76" s="87"/>
      <c r="G76" s="87"/>
      <c r="H76" s="87"/>
      <c r="I76" s="87"/>
      <c r="J76" s="87"/>
      <c r="K76" s="87"/>
      <c r="L76" s="87"/>
      <c r="M76" s="87"/>
      <c r="N76" s="87"/>
      <c r="O76" s="87"/>
      <c r="P76" s="87"/>
      <c r="Q76" s="87"/>
      <c r="R76" s="87"/>
      <c r="S76" s="86"/>
      <c r="T76" s="87"/>
      <c r="U76" s="86"/>
      <c r="V76" s="87"/>
      <c r="W76" s="87"/>
      <c r="X76" s="87"/>
      <c r="Y76" s="86"/>
      <c r="Z76" s="87"/>
      <c r="AA76" s="86"/>
      <c r="AB76" s="87"/>
      <c r="AC76" s="86"/>
      <c r="AD76" s="87"/>
      <c r="AE76" s="86"/>
      <c r="AF76" s="87"/>
      <c r="AG76" s="86"/>
      <c r="AH76" s="87"/>
      <c r="AI76" s="86"/>
      <c r="AJ76" s="87"/>
      <c r="AK76" s="86"/>
      <c r="AL76" s="87"/>
      <c r="AM76" s="86"/>
      <c r="AN76" s="87"/>
      <c r="AO76" s="86"/>
      <c r="AP76" s="87"/>
      <c r="AQ76" s="87"/>
      <c r="AR76" s="87"/>
      <c r="AS76" s="86"/>
      <c r="AT76" s="87"/>
      <c r="AU76" s="86"/>
      <c r="AV76" s="87"/>
      <c r="AW76" s="86"/>
      <c r="AX76" s="87"/>
      <c r="AY76" s="87"/>
      <c r="AZ76" s="87"/>
      <c r="BA76" s="87"/>
      <c r="BB76" s="87"/>
      <c r="BD76" s="87"/>
      <c r="BF76" s="87"/>
      <c r="BH76" s="87"/>
      <c r="BJ76" s="87"/>
      <c r="BL76" s="87"/>
      <c r="BN76" s="87"/>
      <c r="BP76" s="87"/>
    </row>
    <row r="77" spans="1:68" ht="17.25" customHeight="1">
      <c r="A77" s="86"/>
      <c r="B77" s="94"/>
      <c r="C77" s="86"/>
      <c r="D77" s="87"/>
      <c r="E77" s="87"/>
      <c r="F77" s="87"/>
      <c r="G77" s="87"/>
      <c r="H77" s="87"/>
      <c r="I77" s="87"/>
      <c r="J77" s="87"/>
      <c r="K77" s="87"/>
      <c r="L77" s="87"/>
      <c r="M77" s="87"/>
      <c r="N77" s="87"/>
      <c r="O77" s="87"/>
      <c r="P77" s="87"/>
      <c r="Q77" s="87"/>
      <c r="R77" s="87"/>
      <c r="S77" s="86"/>
      <c r="T77" s="87"/>
      <c r="U77" s="86"/>
      <c r="V77" s="87"/>
      <c r="W77" s="87"/>
      <c r="X77" s="87"/>
      <c r="Y77" s="86"/>
      <c r="Z77" s="87"/>
      <c r="AA77" s="86"/>
      <c r="AB77" s="87"/>
      <c r="AC77" s="86"/>
      <c r="AD77" s="87"/>
      <c r="AE77" s="86"/>
      <c r="AF77" s="87"/>
      <c r="AG77" s="86"/>
      <c r="AH77" s="87"/>
      <c r="AI77" s="86"/>
      <c r="AJ77" s="87"/>
      <c r="AK77" s="86"/>
      <c r="AL77" s="87"/>
      <c r="AM77" s="86"/>
      <c r="AN77" s="87"/>
      <c r="AO77" s="86"/>
      <c r="AP77" s="87"/>
      <c r="AQ77" s="87"/>
      <c r="AR77" s="87"/>
      <c r="AS77" s="86"/>
      <c r="AT77" s="87"/>
      <c r="AU77" s="86"/>
      <c r="AV77" s="87"/>
      <c r="AW77" s="86"/>
      <c r="AX77" s="87"/>
      <c r="AY77" s="87"/>
      <c r="AZ77" s="87"/>
      <c r="BA77" s="87"/>
      <c r="BB77" s="87"/>
      <c r="BD77" s="87"/>
      <c r="BF77" s="87"/>
      <c r="BH77" s="87"/>
      <c r="BJ77" s="87"/>
      <c r="BL77" s="87"/>
      <c r="BN77" s="87"/>
      <c r="BP77" s="87"/>
    </row>
    <row r="78" spans="1:68" ht="17.25" customHeight="1">
      <c r="A78" s="86"/>
      <c r="B78" s="94"/>
      <c r="C78" s="86"/>
      <c r="D78" s="87"/>
      <c r="E78" s="87"/>
      <c r="F78" s="87"/>
      <c r="G78" s="87"/>
      <c r="H78" s="87"/>
      <c r="I78" s="87"/>
      <c r="J78" s="87"/>
      <c r="K78" s="87"/>
      <c r="L78" s="87"/>
      <c r="M78" s="87"/>
      <c r="N78" s="87"/>
      <c r="O78" s="87"/>
      <c r="P78" s="87"/>
      <c r="Q78" s="87"/>
      <c r="R78" s="87"/>
      <c r="S78" s="86"/>
      <c r="T78" s="87"/>
      <c r="U78" s="86"/>
      <c r="V78" s="87"/>
      <c r="W78" s="87"/>
      <c r="X78" s="87"/>
      <c r="Y78" s="86"/>
      <c r="Z78" s="87"/>
      <c r="AA78" s="86"/>
      <c r="AB78" s="87"/>
      <c r="AC78" s="86"/>
      <c r="AD78" s="87"/>
      <c r="AE78" s="86"/>
      <c r="AF78" s="87"/>
      <c r="AG78" s="86"/>
      <c r="AH78" s="87"/>
      <c r="AI78" s="86"/>
      <c r="AJ78" s="87"/>
      <c r="AK78" s="86"/>
      <c r="AL78" s="87"/>
      <c r="AM78" s="86"/>
      <c r="AN78" s="87"/>
      <c r="AO78" s="86"/>
      <c r="AP78" s="87"/>
      <c r="AQ78" s="87"/>
      <c r="AR78" s="87"/>
      <c r="AS78" s="86"/>
      <c r="AT78" s="87"/>
      <c r="AU78" s="86"/>
      <c r="AV78" s="87"/>
      <c r="AW78" s="86"/>
      <c r="AX78" s="87"/>
      <c r="AY78" s="87"/>
      <c r="AZ78" s="87"/>
      <c r="BA78" s="87"/>
      <c r="BB78" s="87"/>
      <c r="BD78" s="87"/>
      <c r="BF78" s="87"/>
      <c r="BH78" s="87"/>
      <c r="BJ78" s="87"/>
      <c r="BL78" s="87"/>
      <c r="BN78" s="87"/>
      <c r="BP78" s="87"/>
    </row>
    <row r="79" spans="1:68" ht="17.25" customHeight="1">
      <c r="A79" s="86"/>
      <c r="B79" s="94"/>
      <c r="C79" s="86"/>
      <c r="D79" s="87"/>
      <c r="E79" s="87"/>
      <c r="F79" s="87"/>
      <c r="G79" s="87"/>
      <c r="H79" s="87"/>
      <c r="I79" s="87"/>
      <c r="J79" s="87"/>
      <c r="K79" s="87"/>
      <c r="L79" s="87"/>
      <c r="M79" s="87"/>
      <c r="N79" s="87"/>
      <c r="O79" s="87"/>
      <c r="P79" s="87"/>
      <c r="Q79" s="87"/>
      <c r="R79" s="87"/>
      <c r="S79" s="86"/>
      <c r="T79" s="87"/>
      <c r="U79" s="86"/>
      <c r="V79" s="87"/>
      <c r="W79" s="87"/>
      <c r="X79" s="87"/>
      <c r="Y79" s="86"/>
      <c r="Z79" s="87"/>
      <c r="AA79" s="86"/>
      <c r="AB79" s="87"/>
      <c r="AC79" s="86"/>
      <c r="AD79" s="87"/>
      <c r="AE79" s="86"/>
      <c r="AF79" s="87"/>
      <c r="AG79" s="86"/>
      <c r="AH79" s="87"/>
      <c r="AI79" s="86"/>
      <c r="AJ79" s="87"/>
      <c r="AK79" s="86"/>
      <c r="AL79" s="87"/>
      <c r="AM79" s="86"/>
      <c r="AN79" s="87"/>
      <c r="AO79" s="86"/>
      <c r="AP79" s="87"/>
      <c r="AQ79" s="87"/>
      <c r="AR79" s="87"/>
      <c r="AS79" s="86"/>
      <c r="AT79" s="87"/>
      <c r="AU79" s="86"/>
      <c r="AV79" s="87"/>
      <c r="AW79" s="86"/>
      <c r="AX79" s="87"/>
      <c r="AY79" s="87"/>
      <c r="AZ79" s="87"/>
      <c r="BA79" s="87"/>
      <c r="BB79" s="87"/>
      <c r="BD79" s="87"/>
      <c r="BF79" s="87"/>
      <c r="BH79" s="87"/>
      <c r="BJ79" s="87"/>
      <c r="BL79" s="87"/>
      <c r="BN79" s="87"/>
      <c r="BP79" s="87"/>
    </row>
    <row r="80" spans="1:68" ht="17.25" customHeight="1">
      <c r="A80" s="86"/>
      <c r="B80" s="94"/>
      <c r="C80" s="86"/>
      <c r="D80" s="87"/>
      <c r="E80" s="87"/>
      <c r="F80" s="87"/>
      <c r="G80" s="87"/>
      <c r="H80" s="87"/>
      <c r="I80" s="87"/>
      <c r="J80" s="87"/>
      <c r="K80" s="87"/>
      <c r="L80" s="87"/>
      <c r="M80" s="87"/>
      <c r="N80" s="87"/>
      <c r="O80" s="87"/>
      <c r="P80" s="87"/>
      <c r="Q80" s="87"/>
      <c r="R80" s="87"/>
      <c r="S80" s="86"/>
      <c r="T80" s="87"/>
      <c r="U80" s="86"/>
      <c r="V80" s="87"/>
      <c r="W80" s="87"/>
      <c r="X80" s="87"/>
      <c r="Y80" s="86"/>
      <c r="Z80" s="87"/>
      <c r="AA80" s="86"/>
      <c r="AB80" s="87"/>
      <c r="AC80" s="86"/>
      <c r="AD80" s="87"/>
      <c r="AE80" s="86"/>
      <c r="AF80" s="87"/>
      <c r="AG80" s="86"/>
      <c r="AH80" s="87"/>
      <c r="AI80" s="86"/>
      <c r="AJ80" s="87"/>
      <c r="AK80" s="86"/>
      <c r="AL80" s="87"/>
      <c r="AM80" s="86"/>
      <c r="AN80" s="87"/>
      <c r="AO80" s="86"/>
      <c r="AP80" s="87"/>
      <c r="AQ80" s="87"/>
      <c r="AR80" s="87"/>
      <c r="AS80" s="86"/>
      <c r="AT80" s="87"/>
      <c r="AU80" s="86"/>
      <c r="AV80" s="87"/>
      <c r="AW80" s="86"/>
      <c r="AX80" s="87"/>
      <c r="AY80" s="87"/>
      <c r="AZ80" s="87"/>
      <c r="BA80" s="87"/>
      <c r="BB80" s="87"/>
      <c r="BD80" s="87"/>
      <c r="BF80" s="87"/>
      <c r="BH80" s="87"/>
      <c r="BJ80" s="87"/>
      <c r="BL80" s="87"/>
      <c r="BN80" s="87"/>
      <c r="BP80" s="87"/>
    </row>
    <row r="81" spans="1:69" ht="17.25" customHeight="1">
      <c r="A81" s="86"/>
      <c r="B81" s="94"/>
      <c r="C81" s="86"/>
      <c r="D81" s="87"/>
      <c r="E81" s="87"/>
      <c r="F81" s="87"/>
      <c r="G81" s="87"/>
      <c r="H81" s="87"/>
      <c r="I81" s="87"/>
      <c r="J81" s="87"/>
      <c r="K81" s="87"/>
      <c r="L81" s="87"/>
      <c r="M81" s="87"/>
      <c r="N81" s="87"/>
      <c r="O81" s="87"/>
      <c r="P81" s="87"/>
      <c r="Q81" s="87"/>
      <c r="R81" s="87"/>
      <c r="S81" s="86"/>
      <c r="T81" s="87"/>
      <c r="U81" s="86"/>
      <c r="V81" s="87"/>
      <c r="W81" s="87"/>
      <c r="X81" s="87"/>
      <c r="Y81" s="86"/>
      <c r="Z81" s="87"/>
      <c r="AA81" s="86"/>
      <c r="AB81" s="87"/>
      <c r="AC81" s="86"/>
      <c r="AD81" s="87"/>
      <c r="AE81" s="86"/>
      <c r="AF81" s="87"/>
      <c r="AG81" s="86"/>
      <c r="AH81" s="87"/>
      <c r="AI81" s="86"/>
      <c r="AJ81" s="87"/>
      <c r="AK81" s="86"/>
      <c r="AL81" s="87"/>
      <c r="AM81" s="86"/>
      <c r="AN81" s="87"/>
      <c r="AO81" s="86"/>
      <c r="AP81" s="87"/>
      <c r="AQ81" s="87"/>
      <c r="AR81" s="87"/>
      <c r="AS81" s="86"/>
      <c r="AT81" s="87"/>
      <c r="AU81" s="86"/>
      <c r="AV81" s="87"/>
      <c r="AW81" s="86"/>
      <c r="AX81" s="87"/>
      <c r="AY81" s="87"/>
      <c r="AZ81" s="87"/>
      <c r="BA81" s="87"/>
      <c r="BB81" s="87"/>
      <c r="BD81" s="87"/>
      <c r="BF81" s="87"/>
      <c r="BH81" s="87"/>
      <c r="BJ81" s="87"/>
      <c r="BL81" s="87"/>
      <c r="BN81" s="87"/>
      <c r="BP81" s="87"/>
    </row>
    <row r="82" spans="1:69" ht="17.25" customHeight="1">
      <c r="A82" s="86"/>
      <c r="B82" s="94"/>
      <c r="C82" s="86"/>
      <c r="D82" s="87"/>
      <c r="E82" s="87"/>
      <c r="F82" s="87"/>
      <c r="G82" s="87"/>
      <c r="H82" s="87"/>
      <c r="I82" s="87"/>
      <c r="J82" s="87"/>
      <c r="K82" s="87"/>
      <c r="L82" s="87"/>
      <c r="M82" s="87"/>
      <c r="N82" s="87"/>
      <c r="O82" s="87"/>
      <c r="P82" s="87"/>
      <c r="Q82" s="87"/>
      <c r="R82" s="87"/>
      <c r="S82" s="86"/>
      <c r="T82" s="87"/>
      <c r="U82" s="86"/>
      <c r="V82" s="87"/>
      <c r="W82" s="87"/>
      <c r="X82" s="87"/>
      <c r="Y82" s="86"/>
      <c r="Z82" s="87"/>
      <c r="AA82" s="86"/>
      <c r="AB82" s="87"/>
      <c r="AC82" s="86"/>
      <c r="AD82" s="87"/>
      <c r="AE82" s="86"/>
      <c r="AF82" s="87"/>
      <c r="AG82" s="86"/>
      <c r="AH82" s="87"/>
      <c r="AI82" s="86"/>
      <c r="AJ82" s="87"/>
      <c r="AK82" s="86"/>
      <c r="AL82" s="87"/>
      <c r="AM82" s="86"/>
      <c r="AN82" s="87"/>
      <c r="AO82" s="86"/>
      <c r="AP82" s="87"/>
      <c r="AQ82" s="87"/>
      <c r="AR82" s="87"/>
      <c r="AS82" s="86"/>
      <c r="AT82" s="87"/>
      <c r="AU82" s="86"/>
      <c r="AV82" s="87"/>
      <c r="AW82" s="86"/>
      <c r="AX82" s="87"/>
      <c r="AY82" s="87"/>
      <c r="AZ82" s="87"/>
      <c r="BA82" s="87"/>
      <c r="BB82" s="87"/>
      <c r="BD82" s="87"/>
      <c r="BF82" s="87"/>
      <c r="BH82" s="87"/>
      <c r="BJ82" s="87"/>
      <c r="BL82" s="87"/>
      <c r="BN82" s="87"/>
      <c r="BP82" s="87"/>
    </row>
    <row r="83" spans="1:69" ht="17.25" customHeight="1">
      <c r="A83" s="86"/>
      <c r="B83" s="94"/>
      <c r="C83" s="86"/>
      <c r="D83" s="87"/>
      <c r="E83" s="87"/>
      <c r="F83" s="87"/>
      <c r="G83" s="87"/>
      <c r="H83" s="87"/>
      <c r="I83" s="87"/>
      <c r="J83" s="87"/>
      <c r="K83" s="87"/>
      <c r="L83" s="87"/>
      <c r="M83" s="87"/>
      <c r="N83" s="87"/>
      <c r="O83" s="87"/>
      <c r="P83" s="87"/>
      <c r="Q83" s="87"/>
      <c r="R83" s="87"/>
      <c r="S83" s="86"/>
      <c r="T83" s="87"/>
      <c r="U83" s="86"/>
      <c r="V83" s="87"/>
      <c r="W83" s="87"/>
      <c r="X83" s="87"/>
      <c r="Y83" s="86"/>
      <c r="Z83" s="87"/>
      <c r="AA83" s="86"/>
      <c r="AB83" s="87"/>
      <c r="AC83" s="86"/>
      <c r="AD83" s="87"/>
      <c r="AE83" s="86"/>
      <c r="AF83" s="87"/>
      <c r="AG83" s="86"/>
      <c r="AH83" s="87"/>
      <c r="AI83" s="86"/>
      <c r="AJ83" s="87"/>
      <c r="AK83" s="86"/>
      <c r="AL83" s="87"/>
      <c r="AM83" s="86"/>
      <c r="AN83" s="87"/>
      <c r="AO83" s="86"/>
      <c r="AP83" s="87"/>
      <c r="AQ83" s="87"/>
      <c r="AR83" s="87"/>
      <c r="AS83" s="86"/>
      <c r="AT83" s="87"/>
      <c r="AU83" s="86"/>
      <c r="AV83" s="87"/>
      <c r="AW83" s="86"/>
      <c r="AX83" s="87"/>
      <c r="AY83" s="87"/>
      <c r="AZ83" s="87"/>
      <c r="BA83" s="87"/>
      <c r="BB83" s="87"/>
      <c r="BD83" s="87"/>
      <c r="BF83" s="87"/>
      <c r="BH83" s="87"/>
      <c r="BJ83" s="87"/>
      <c r="BL83" s="87"/>
      <c r="BN83" s="87"/>
      <c r="BP83" s="87"/>
    </row>
    <row r="84" spans="1:69" ht="17.25" customHeight="1">
      <c r="A84" s="86"/>
      <c r="B84" s="94"/>
      <c r="C84" s="86"/>
      <c r="D84" s="87"/>
      <c r="E84" s="87"/>
      <c r="F84" s="87"/>
      <c r="G84" s="87"/>
      <c r="H84" s="87"/>
      <c r="I84" s="87"/>
      <c r="J84" s="87"/>
      <c r="K84" s="87"/>
      <c r="L84" s="87"/>
      <c r="M84" s="87"/>
      <c r="N84" s="87"/>
      <c r="O84" s="87"/>
      <c r="P84" s="87"/>
      <c r="Q84" s="87"/>
      <c r="R84" s="87"/>
      <c r="S84" s="86"/>
      <c r="T84" s="87"/>
      <c r="U84" s="86"/>
      <c r="V84" s="87"/>
      <c r="W84" s="87"/>
      <c r="X84" s="87"/>
      <c r="Y84" s="86"/>
      <c r="Z84" s="87"/>
      <c r="AA84" s="86"/>
      <c r="AB84" s="87"/>
      <c r="AC84" s="86"/>
      <c r="AD84" s="87"/>
      <c r="AE84" s="86"/>
      <c r="AF84" s="87"/>
      <c r="AG84" s="86"/>
      <c r="AH84" s="87"/>
      <c r="AI84" s="86"/>
      <c r="AJ84" s="87"/>
      <c r="AK84" s="86"/>
      <c r="AL84" s="87"/>
      <c r="AM84" s="86"/>
      <c r="AN84" s="87"/>
      <c r="AO84" s="86"/>
      <c r="AP84" s="87"/>
      <c r="AQ84" s="87"/>
      <c r="AR84" s="87"/>
      <c r="AS84" s="86"/>
      <c r="AT84" s="87"/>
      <c r="AU84" s="86"/>
      <c r="AV84" s="87"/>
      <c r="AW84" s="86"/>
      <c r="AX84" s="87"/>
      <c r="AY84" s="87"/>
      <c r="AZ84" s="87"/>
      <c r="BA84" s="87"/>
      <c r="BB84" s="87"/>
      <c r="BD84" s="87"/>
      <c r="BF84" s="87"/>
      <c r="BH84" s="87"/>
      <c r="BJ84" s="87"/>
      <c r="BL84" s="87"/>
      <c r="BN84" s="87"/>
      <c r="BP84" s="87"/>
    </row>
    <row r="85" spans="1:69" ht="16.5" customHeight="1">
      <c r="A85" s="86"/>
      <c r="B85" s="94"/>
      <c r="C85" s="86"/>
      <c r="D85" s="87"/>
      <c r="E85" s="87"/>
      <c r="F85" s="87"/>
      <c r="G85" s="87"/>
      <c r="H85" s="87"/>
      <c r="I85" s="87"/>
      <c r="J85" s="87"/>
      <c r="K85" s="87"/>
      <c r="L85" s="87"/>
      <c r="M85" s="87"/>
      <c r="N85" s="87"/>
      <c r="O85" s="87"/>
      <c r="P85" s="87"/>
      <c r="Q85" s="87"/>
      <c r="R85" s="87"/>
      <c r="S85" s="86"/>
      <c r="T85" s="87"/>
      <c r="U85" s="86"/>
      <c r="V85" s="87"/>
      <c r="W85" s="87"/>
      <c r="X85" s="87"/>
      <c r="Y85" s="86"/>
      <c r="Z85" s="87"/>
      <c r="AA85" s="86"/>
      <c r="AB85" s="87"/>
      <c r="AC85" s="86"/>
      <c r="AD85" s="87"/>
      <c r="AE85" s="86"/>
      <c r="AF85" s="87"/>
      <c r="AG85" s="86"/>
      <c r="AH85" s="87"/>
      <c r="AI85" s="86"/>
      <c r="AJ85" s="87"/>
      <c r="AK85" s="86"/>
      <c r="AL85" s="87"/>
      <c r="AM85" s="86"/>
      <c r="AN85" s="87"/>
      <c r="AO85" s="86"/>
      <c r="AP85" s="87"/>
      <c r="AQ85" s="87"/>
      <c r="AR85" s="87"/>
      <c r="AS85" s="86"/>
      <c r="AT85" s="87"/>
      <c r="AU85" s="86"/>
      <c r="AV85" s="87"/>
      <c r="AW85" s="86"/>
      <c r="AX85" s="87"/>
      <c r="AY85" s="87"/>
      <c r="AZ85" s="87"/>
      <c r="BA85" s="87"/>
      <c r="BB85" s="87"/>
      <c r="BD85" s="87"/>
      <c r="BF85" s="87"/>
      <c r="BH85" s="87"/>
      <c r="BJ85" s="87"/>
      <c r="BL85" s="87"/>
      <c r="BN85" s="87"/>
      <c r="BP85" s="87"/>
    </row>
    <row r="86" spans="1:69" ht="30.75" customHeight="1">
      <c r="A86" s="86"/>
      <c r="B86" s="94"/>
      <c r="C86" s="86"/>
      <c r="D86" s="87"/>
      <c r="E86" s="87"/>
      <c r="F86" s="87"/>
      <c r="G86" s="87"/>
      <c r="H86" s="87"/>
      <c r="I86" s="87"/>
      <c r="J86" s="87"/>
      <c r="K86" s="87"/>
      <c r="L86" s="87"/>
      <c r="M86" s="87"/>
      <c r="N86" s="87"/>
      <c r="O86" s="87"/>
      <c r="P86" s="87"/>
      <c r="Q86" s="87"/>
      <c r="R86" s="87"/>
      <c r="S86" s="86"/>
      <c r="T86" s="87"/>
      <c r="U86" s="86"/>
      <c r="V86" s="87"/>
      <c r="W86" s="87"/>
      <c r="X86" s="87"/>
      <c r="Y86" s="86"/>
      <c r="Z86" s="87"/>
      <c r="AA86" s="86"/>
      <c r="AB86" s="87"/>
      <c r="AC86" s="86"/>
      <c r="AD86" s="87"/>
      <c r="AE86" s="86"/>
      <c r="AF86" s="87"/>
      <c r="AG86" s="86"/>
      <c r="AH86" s="87"/>
      <c r="AI86" s="86"/>
      <c r="AJ86" s="87"/>
      <c r="AK86" s="86"/>
      <c r="AL86" s="87"/>
      <c r="AM86" s="86"/>
      <c r="AN86" s="87"/>
      <c r="AO86" s="86"/>
      <c r="AP86" s="87"/>
      <c r="AQ86" s="87"/>
      <c r="AR86" s="87"/>
      <c r="AS86" s="86"/>
      <c r="AT86" s="87"/>
      <c r="AU86" s="86"/>
      <c r="AV86" s="87"/>
      <c r="AW86" s="86"/>
      <c r="AX86" s="87"/>
      <c r="AY86" s="87"/>
      <c r="AZ86" s="87"/>
      <c r="BA86" s="87"/>
      <c r="BB86" s="87"/>
      <c r="BD86" s="87"/>
      <c r="BF86" s="87"/>
      <c r="BH86" s="87"/>
      <c r="BJ86" s="87"/>
      <c r="BL86" s="87"/>
      <c r="BN86" s="87"/>
      <c r="BP86" s="87"/>
    </row>
    <row r="87" spans="1:69" s="83" customFormat="1" ht="14.25" customHeight="1">
      <c r="A87" s="291" t="s">
        <v>121</v>
      </c>
      <c r="B87" s="291"/>
      <c r="C87" s="291"/>
      <c r="D87" s="291"/>
      <c r="E87" s="291"/>
      <c r="F87" s="291"/>
      <c r="G87" s="291"/>
      <c r="H87" s="291"/>
      <c r="I87" s="291"/>
      <c r="J87" s="291"/>
      <c r="K87" s="291"/>
      <c r="L87" s="291"/>
      <c r="M87" s="291"/>
      <c r="N87" s="291"/>
      <c r="O87" s="291"/>
      <c r="P87" s="291"/>
      <c r="Q87" s="291"/>
      <c r="R87" s="291"/>
      <c r="S87" s="291"/>
      <c r="T87" s="291"/>
      <c r="U87" s="291"/>
      <c r="V87" s="291"/>
      <c r="W87" s="291"/>
      <c r="X87" s="291"/>
      <c r="Y87" s="291"/>
      <c r="Z87" s="291"/>
      <c r="AA87" s="291"/>
      <c r="AB87" s="291"/>
      <c r="AC87" s="291"/>
      <c r="AD87" s="291"/>
      <c r="AE87" s="291"/>
      <c r="AF87" s="291"/>
      <c r="AG87" s="291"/>
      <c r="AH87" s="291"/>
      <c r="AI87" s="291"/>
      <c r="AJ87" s="291"/>
      <c r="AK87" s="291"/>
      <c r="AL87" s="291"/>
      <c r="AM87" s="291"/>
      <c r="AN87" s="291"/>
      <c r="AO87" s="291"/>
      <c r="AP87" s="291"/>
      <c r="AQ87" s="291"/>
      <c r="AR87" s="291"/>
      <c r="AS87" s="291"/>
      <c r="AT87" s="291"/>
      <c r="AU87" s="291"/>
      <c r="AV87" s="291"/>
      <c r="AW87" s="291"/>
      <c r="AX87" s="291"/>
      <c r="AY87" s="291"/>
      <c r="AZ87" s="291"/>
      <c r="BA87" s="291"/>
      <c r="BB87" s="291"/>
      <c r="BC87" s="291"/>
      <c r="BD87" s="291"/>
      <c r="BE87" s="291"/>
      <c r="BF87" s="291"/>
      <c r="BG87" s="291"/>
      <c r="BH87" s="291"/>
      <c r="BI87" s="291"/>
      <c r="BJ87" s="291"/>
      <c r="BK87" s="291"/>
      <c r="BL87" s="291"/>
      <c r="BM87" s="291"/>
      <c r="BN87" s="291"/>
      <c r="BO87" s="291"/>
      <c r="BP87" s="291"/>
      <c r="BQ87"/>
    </row>
    <row r="88" spans="1:69" s="257" customFormat="1" ht="15.75" customHeight="1">
      <c r="A88" s="292" t="s">
        <v>122</v>
      </c>
      <c r="B88" s="292"/>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292"/>
      <c r="AM88" s="292"/>
      <c r="AN88" s="292"/>
      <c r="AO88" s="292"/>
      <c r="AP88" s="292"/>
      <c r="AQ88" s="292"/>
      <c r="AR88" s="292"/>
      <c r="AS88" s="292"/>
      <c r="AT88" s="292"/>
      <c r="AU88" s="292"/>
      <c r="AV88" s="292"/>
      <c r="AW88" s="292"/>
      <c r="AX88" s="292"/>
      <c r="AY88" s="292"/>
      <c r="AZ88" s="292"/>
      <c r="BA88" s="292"/>
      <c r="BB88" s="292"/>
      <c r="BC88" s="292"/>
      <c r="BD88" s="292"/>
      <c r="BE88" s="292"/>
      <c r="BF88" s="292"/>
      <c r="BG88" s="292"/>
      <c r="BH88" s="292"/>
      <c r="BI88" s="292"/>
      <c r="BJ88" s="292"/>
      <c r="BK88" s="292"/>
      <c r="BL88" s="292"/>
      <c r="BM88" s="292"/>
      <c r="BN88" s="292"/>
      <c r="BO88" s="292"/>
      <c r="BP88" s="292"/>
      <c r="BQ88" s="251"/>
    </row>
    <row r="89" spans="1:69" ht="5.25" customHeight="1">
      <c r="AW89" s="1"/>
      <c r="AX89" s="8"/>
      <c r="AY89" s="8"/>
      <c r="AZ89" s="8"/>
      <c r="BA89" s="8"/>
      <c r="BB89" s="8"/>
      <c r="BD89" s="8"/>
      <c r="BF89" s="8"/>
      <c r="BH89" s="8"/>
      <c r="BJ89" s="8"/>
      <c r="BL89" s="8"/>
      <c r="BN89" s="8"/>
      <c r="BP89" s="8"/>
    </row>
    <row r="90" spans="1:69" s="83" customFormat="1" ht="5.25" customHeight="1">
      <c r="AX90" s="91"/>
      <c r="AY90" s="91"/>
      <c r="AZ90" s="91"/>
      <c r="BA90" s="91"/>
      <c r="BB90" s="91"/>
      <c r="BC90"/>
      <c r="BD90" s="91"/>
      <c r="BE90"/>
      <c r="BF90" s="91"/>
      <c r="BG90"/>
      <c r="BH90" s="91"/>
      <c r="BI90"/>
      <c r="BJ90" s="91"/>
      <c r="BK90"/>
      <c r="BL90" s="91"/>
      <c r="BM90"/>
      <c r="BN90" s="91"/>
      <c r="BO90"/>
      <c r="BP90" s="91"/>
      <c r="BQ90"/>
    </row>
    <row r="91" spans="1:69">
      <c r="A91" s="288" t="s">
        <v>126</v>
      </c>
      <c r="B91" s="288"/>
      <c r="C91" s="288"/>
      <c r="D91" s="288"/>
      <c r="E91" s="288"/>
      <c r="F91" s="288"/>
      <c r="G91" s="288"/>
      <c r="H91" s="288"/>
      <c r="I91" s="288"/>
      <c r="J91" s="288"/>
      <c r="K91" s="288"/>
      <c r="L91" s="288"/>
      <c r="M91" s="288"/>
      <c r="N91" s="288"/>
      <c r="O91" s="288"/>
      <c r="P91" s="288"/>
      <c r="Q91" s="288"/>
      <c r="R91" s="288"/>
      <c r="S91" s="288"/>
      <c r="T91" s="288"/>
      <c r="U91" s="288"/>
      <c r="V91" s="288"/>
      <c r="W91" s="288"/>
      <c r="X91" s="288"/>
      <c r="Y91" s="288"/>
      <c r="Z91" s="288"/>
      <c r="AA91" s="288"/>
      <c r="AB91" s="288"/>
      <c r="AC91" s="288"/>
      <c r="AD91" s="288"/>
      <c r="AE91" s="288"/>
      <c r="AF91" s="288"/>
      <c r="AG91" s="288"/>
      <c r="AH91" s="288"/>
      <c r="AI91" s="288"/>
      <c r="AJ91" s="288"/>
      <c r="AK91" s="288"/>
      <c r="AL91" s="288"/>
      <c r="AM91" s="288"/>
      <c r="AN91" s="288"/>
      <c r="AO91" s="288"/>
      <c r="AP91" s="288"/>
      <c r="AQ91" s="288"/>
      <c r="AR91" s="288"/>
      <c r="AS91" s="288"/>
      <c r="AT91" s="288"/>
      <c r="AU91" s="288"/>
      <c r="AV91" s="288"/>
      <c r="AW91" s="288"/>
      <c r="AX91" s="288"/>
      <c r="AY91" s="288"/>
      <c r="AZ91" s="288"/>
      <c r="BA91" s="288"/>
      <c r="BB91" s="288"/>
      <c r="BC91" s="288"/>
      <c r="BD91" s="288"/>
      <c r="BE91" s="288"/>
      <c r="BF91" s="288"/>
      <c r="BG91" s="288"/>
      <c r="BH91" s="288"/>
      <c r="BI91" s="288"/>
      <c r="BJ91" s="288"/>
      <c r="BK91" s="288"/>
      <c r="BL91" s="288"/>
      <c r="BM91" s="288"/>
      <c r="BN91" s="288"/>
      <c r="BO91" s="288"/>
      <c r="BP91" s="288"/>
    </row>
    <row r="92" spans="1:69">
      <c r="A92" s="288" t="s">
        <v>127</v>
      </c>
      <c r="B92" s="288"/>
      <c r="C92" s="288"/>
      <c r="D92" s="288"/>
      <c r="E92" s="288"/>
      <c r="F92" s="288"/>
      <c r="G92" s="288"/>
      <c r="H92" s="288"/>
      <c r="I92" s="288"/>
      <c r="J92" s="288"/>
      <c r="K92" s="288"/>
      <c r="L92" s="288"/>
      <c r="M92" s="288"/>
      <c r="N92" s="288"/>
      <c r="O92" s="288"/>
      <c r="P92" s="288"/>
      <c r="Q92" s="288"/>
      <c r="R92" s="288"/>
      <c r="S92" s="288"/>
      <c r="T92" s="288"/>
      <c r="U92" s="288"/>
      <c r="V92" s="288"/>
      <c r="W92" s="288"/>
      <c r="X92" s="288"/>
      <c r="Y92" s="288"/>
      <c r="Z92" s="288"/>
      <c r="AA92" s="288"/>
      <c r="AB92" s="288"/>
      <c r="AC92" s="288"/>
      <c r="AD92" s="288"/>
      <c r="AE92" s="288"/>
      <c r="AF92" s="288"/>
      <c r="AG92" s="288"/>
      <c r="AH92" s="288"/>
      <c r="AI92" s="288"/>
      <c r="AJ92" s="288"/>
      <c r="AK92" s="288"/>
      <c r="AL92" s="288"/>
      <c r="AM92" s="288"/>
      <c r="AN92" s="288"/>
      <c r="AO92" s="288"/>
      <c r="AP92" s="288"/>
      <c r="AQ92" s="288"/>
      <c r="AR92" s="288"/>
      <c r="AS92" s="288"/>
      <c r="AT92" s="288"/>
      <c r="AU92" s="83"/>
      <c r="AV92" s="91"/>
      <c r="AW92" s="11"/>
      <c r="AX92" s="11"/>
      <c r="AY92" s="11"/>
      <c r="AZ92" s="11"/>
      <c r="BA92" s="11"/>
      <c r="BB92" s="11"/>
      <c r="BD92" s="11"/>
      <c r="BF92" s="11"/>
      <c r="BH92" s="11"/>
      <c r="BJ92" s="11"/>
      <c r="BL92" s="11"/>
      <c r="BN92" s="11"/>
      <c r="BP92" s="11"/>
    </row>
    <row r="93" spans="1:69" ht="19.5" customHeight="1">
      <c r="A93" s="288"/>
      <c r="B93" s="288"/>
      <c r="C93" s="288"/>
      <c r="D93" s="288"/>
      <c r="E93" s="288"/>
      <c r="F93" s="288"/>
      <c r="G93" s="288"/>
      <c r="H93" s="288"/>
      <c r="I93" s="288"/>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8"/>
      <c r="AG93" s="288"/>
      <c r="AH93" s="288"/>
      <c r="AI93" s="288"/>
      <c r="AJ93" s="288"/>
      <c r="AK93" s="288"/>
      <c r="AL93" s="288"/>
      <c r="AM93" s="288"/>
      <c r="AN93" s="288"/>
      <c r="AO93" s="288"/>
      <c r="AP93" s="288"/>
      <c r="AQ93" s="288"/>
      <c r="AR93" s="288"/>
      <c r="AS93" s="288"/>
      <c r="AT93" s="288"/>
      <c r="AU93" s="1"/>
      <c r="AV93" s="8"/>
      <c r="AW93" s="1"/>
      <c r="AX93" s="8"/>
      <c r="AY93" s="8"/>
      <c r="AZ93" s="8"/>
      <c r="BA93" s="8"/>
      <c r="BB93" s="8"/>
      <c r="BD93" s="8"/>
      <c r="BF93" s="8"/>
      <c r="BH93" s="8"/>
      <c r="BJ93" s="8"/>
      <c r="BL93" s="8"/>
      <c r="BN93" s="8"/>
      <c r="BP93" s="8"/>
    </row>
    <row r="94" spans="1:69" s="83" customFormat="1" ht="19.5" customHeight="1">
      <c r="A94" s="290"/>
      <c r="B94" s="290"/>
      <c r="C94" s="290"/>
      <c r="D94" s="290"/>
      <c r="E94" s="290"/>
      <c r="F94" s="290"/>
      <c r="G94" s="290"/>
      <c r="H94" s="290"/>
      <c r="I94" s="290"/>
      <c r="J94" s="290"/>
      <c r="K94" s="290"/>
      <c r="L94" s="290"/>
      <c r="M94" s="290"/>
      <c r="N94" s="290"/>
      <c r="O94" s="290"/>
      <c r="P94" s="290"/>
      <c r="Q94" s="290"/>
      <c r="R94" s="290"/>
      <c r="S94" s="290"/>
      <c r="T94" s="290"/>
      <c r="U94" s="290"/>
      <c r="V94" s="290"/>
      <c r="W94" s="290"/>
      <c r="X94" s="290"/>
      <c r="Y94" s="290"/>
      <c r="Z94" s="290"/>
      <c r="AA94" s="290"/>
      <c r="AB94" s="290"/>
      <c r="AC94" s="290"/>
      <c r="AD94" s="290"/>
      <c r="AE94" s="290"/>
      <c r="AF94" s="290"/>
      <c r="AG94" s="290"/>
      <c r="AH94" s="290"/>
      <c r="AI94" s="290"/>
      <c r="AJ94" s="290"/>
      <c r="AK94" s="290"/>
      <c r="AL94" s="290"/>
      <c r="AM94" s="290"/>
      <c r="AN94" s="290"/>
      <c r="AO94" s="290"/>
      <c r="AP94" s="290"/>
      <c r="AQ94" s="290"/>
      <c r="AR94" s="290"/>
      <c r="AS94" s="290"/>
      <c r="AT94" s="290"/>
      <c r="AV94" s="91"/>
      <c r="AX94" s="91"/>
      <c r="AY94" s="91"/>
      <c r="AZ94" s="91"/>
      <c r="BA94" s="91"/>
      <c r="BB94" s="91"/>
      <c r="BC94"/>
      <c r="BD94" s="91"/>
      <c r="BE94"/>
      <c r="BF94" s="91"/>
      <c r="BG94"/>
      <c r="BH94" s="91"/>
      <c r="BI94"/>
      <c r="BJ94" s="91"/>
      <c r="BK94"/>
      <c r="BL94" s="91"/>
      <c r="BM94"/>
      <c r="BN94" s="91"/>
      <c r="BO94"/>
      <c r="BP94" s="91"/>
      <c r="BQ94"/>
    </row>
    <row r="95" spans="1:69" ht="17.25" customHeight="1">
      <c r="A95" s="86"/>
      <c r="B95" s="94"/>
      <c r="C95" s="86"/>
      <c r="D95" s="87"/>
      <c r="E95" s="87"/>
      <c r="F95" s="87"/>
      <c r="G95" s="87"/>
      <c r="H95" s="87"/>
      <c r="I95" s="87"/>
      <c r="J95" s="87"/>
      <c r="K95" s="87"/>
      <c r="L95" s="87"/>
      <c r="M95" s="87"/>
      <c r="N95" s="87"/>
      <c r="O95" s="87"/>
      <c r="P95" s="87"/>
      <c r="Q95" s="87"/>
      <c r="R95" s="87"/>
      <c r="S95" s="86"/>
      <c r="T95" s="87"/>
      <c r="U95" s="86"/>
      <c r="V95" s="87"/>
      <c r="W95" s="87"/>
      <c r="X95" s="87"/>
      <c r="Y95" s="86"/>
      <c r="Z95" s="87"/>
      <c r="AA95" s="86"/>
      <c r="AB95" s="87"/>
      <c r="AC95" s="86"/>
      <c r="AD95" s="87"/>
      <c r="AE95" s="86"/>
      <c r="AF95" s="87"/>
      <c r="AG95" s="86"/>
      <c r="AH95" s="87"/>
      <c r="AI95" s="86"/>
      <c r="AJ95" s="87"/>
      <c r="AK95" s="86"/>
      <c r="AL95" s="87"/>
      <c r="AM95" s="86"/>
      <c r="AN95" s="87"/>
      <c r="AO95" s="86"/>
      <c r="AP95" s="87"/>
      <c r="AQ95" s="87"/>
      <c r="AR95" s="87"/>
      <c r="AS95" s="86"/>
      <c r="AT95" s="87"/>
      <c r="AU95" s="86"/>
      <c r="AV95" s="87"/>
      <c r="AW95" s="86"/>
      <c r="AX95" s="87"/>
      <c r="AY95" s="87"/>
      <c r="AZ95" s="87"/>
      <c r="BA95" s="87"/>
      <c r="BB95" s="87"/>
      <c r="BD95" s="87"/>
      <c r="BF95" s="87"/>
      <c r="BH95" s="87"/>
      <c r="BJ95" s="87"/>
      <c r="BL95" s="87"/>
      <c r="BN95" s="87"/>
      <c r="BP95" s="87"/>
    </row>
    <row r="96" spans="1:69" ht="30.75" customHeight="1">
      <c r="A96" s="13"/>
      <c r="B96" s="13"/>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D96" s="11"/>
      <c r="BF96" s="11"/>
      <c r="BH96" s="11"/>
      <c r="BJ96" s="11"/>
      <c r="BL96" s="11"/>
      <c r="BN96" s="11"/>
      <c r="BP96" s="11"/>
    </row>
    <row r="97" spans="1:68" ht="30.75" customHeight="1">
      <c r="A97" s="13"/>
      <c r="B97" s="13"/>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D97" s="11"/>
      <c r="BF97" s="11"/>
      <c r="BH97" s="11"/>
      <c r="BJ97" s="11"/>
      <c r="BL97" s="11"/>
      <c r="BN97" s="11"/>
      <c r="BP97" s="11"/>
    </row>
    <row r="98" spans="1:68">
      <c r="A98" s="13"/>
      <c r="B98" s="13"/>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D98" s="11"/>
      <c r="BF98" s="11"/>
      <c r="BH98" s="11"/>
      <c r="BJ98" s="11"/>
      <c r="BL98" s="11"/>
      <c r="BN98" s="11"/>
      <c r="BP98" s="11"/>
    </row>
    <row r="99" spans="1:68" ht="39" customHeight="1"/>
    <row r="104" spans="1:68" ht="27" customHeight="1"/>
    <row r="105" spans="1:68" ht="27" customHeight="1"/>
    <row r="106" spans="1:68" ht="27" customHeight="1"/>
    <row r="107" spans="1:68" ht="7.5" customHeight="1"/>
    <row r="108" spans="1:68" ht="7.5" customHeight="1"/>
    <row r="109" spans="1:68" ht="27" customHeight="1"/>
  </sheetData>
  <mergeCells count="24">
    <mergeCell ref="A94:AT94"/>
    <mergeCell ref="A56:AT56"/>
    <mergeCell ref="A48:BP48"/>
    <mergeCell ref="A49:BP49"/>
    <mergeCell ref="A50:BP50"/>
    <mergeCell ref="A51:BP51"/>
    <mergeCell ref="A92:AT92"/>
    <mergeCell ref="A60:AY60"/>
    <mergeCell ref="A59:BP59"/>
    <mergeCell ref="A87:BP87"/>
    <mergeCell ref="A88:BP88"/>
    <mergeCell ref="A53:BP53"/>
    <mergeCell ref="A2:BP2"/>
    <mergeCell ref="A3:BP3"/>
    <mergeCell ref="A93:AT93"/>
    <mergeCell ref="A6:C6"/>
    <mergeCell ref="A11:C11"/>
    <mergeCell ref="A16:C16"/>
    <mergeCell ref="A24:C24"/>
    <mergeCell ref="A32:C32"/>
    <mergeCell ref="A37:C37"/>
    <mergeCell ref="A42:C42"/>
    <mergeCell ref="A55:BP55"/>
    <mergeCell ref="A91:BP91"/>
  </mergeCells>
  <phoneticPr fontId="0" type="noConversion"/>
  <printOptions horizontalCentered="1"/>
  <pageMargins left="0.4" right="0.4" top="0.34" bottom="0.25" header="0.3" footer="0.3"/>
  <pageSetup scale="96" orientation="landscape" r:id="rId1"/>
  <headerFooter alignWithMargins="0"/>
  <rowBreaks count="1" manualBreakCount="1">
    <brk id="56"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1"/>
  <sheetViews>
    <sheetView view="pageBreakPreview" zoomScaleNormal="100" zoomScaleSheetLayoutView="100" workbookViewId="0">
      <selection activeCell="P21" sqref="P21"/>
    </sheetView>
  </sheetViews>
  <sheetFormatPr defaultRowHeight="12.75" customHeight="1"/>
  <cols>
    <col min="1" max="1" width="0.42578125" customWidth="1"/>
    <col min="2" max="2" width="15.42578125" customWidth="1"/>
    <col min="3" max="3" width="11.42578125" customWidth="1"/>
    <col min="4" max="5" width="9.42578125" customWidth="1"/>
    <col min="6" max="6" width="10.5703125" customWidth="1"/>
    <col min="7" max="7" width="9" customWidth="1"/>
    <col min="8" max="8" width="9.42578125" customWidth="1"/>
    <col min="9" max="9" width="10.5703125" customWidth="1"/>
    <col min="10" max="10" width="8.5703125" customWidth="1"/>
    <col min="11" max="11" width="9.42578125" customWidth="1"/>
  </cols>
  <sheetData>
    <row r="1" spans="2:11" ht="12.75" customHeight="1">
      <c r="B1" s="16" t="s">
        <v>128</v>
      </c>
      <c r="C1" s="294" t="s">
        <v>2</v>
      </c>
      <c r="D1" s="294"/>
      <c r="E1" s="295"/>
      <c r="F1" s="296" t="s">
        <v>3</v>
      </c>
      <c r="G1" s="297"/>
      <c r="H1" s="298"/>
      <c r="I1" s="299" t="s">
        <v>4</v>
      </c>
      <c r="J1" s="300"/>
      <c r="K1" s="300"/>
    </row>
    <row r="2" spans="2:11" ht="12.75" customHeight="1">
      <c r="B2" s="83"/>
      <c r="C2" s="132" t="s">
        <v>5</v>
      </c>
      <c r="D2" s="133" t="s">
        <v>6</v>
      </c>
      <c r="E2" s="137" t="s">
        <v>7</v>
      </c>
      <c r="F2" s="134" t="s">
        <v>5</v>
      </c>
      <c r="G2" s="135" t="s">
        <v>6</v>
      </c>
      <c r="H2" s="138" t="s">
        <v>8</v>
      </c>
      <c r="I2" s="136" t="s">
        <v>5</v>
      </c>
      <c r="J2" s="136" t="s">
        <v>6</v>
      </c>
      <c r="K2" s="139" t="s">
        <v>8</v>
      </c>
    </row>
    <row r="3" spans="2:11" ht="12.75" customHeight="1">
      <c r="B3" s="37" t="s">
        <v>9</v>
      </c>
      <c r="C3" s="96">
        <v>14179</v>
      </c>
      <c r="D3" s="97">
        <v>417</v>
      </c>
      <c r="E3" s="40">
        <f>C3/D3</f>
        <v>34.002398081534771</v>
      </c>
      <c r="F3" s="103">
        <v>791</v>
      </c>
      <c r="G3" s="104">
        <v>89</v>
      </c>
      <c r="H3" s="41">
        <f t="shared" ref="H3:H8" si="0">F3/G3</f>
        <v>8.8876404494382015</v>
      </c>
      <c r="I3" s="119">
        <f t="shared" ref="I3:I8" si="1">C3+F3</f>
        <v>14970</v>
      </c>
      <c r="J3" s="119">
        <f>D3+G3</f>
        <v>506</v>
      </c>
      <c r="K3" s="43">
        <f>I3/J3</f>
        <v>29.584980237154149</v>
      </c>
    </row>
    <row r="4" spans="2:11" ht="12.75" customHeight="1">
      <c r="B4" s="45" t="s">
        <v>10</v>
      </c>
      <c r="C4" s="96">
        <v>14975</v>
      </c>
      <c r="D4" s="97">
        <v>297</v>
      </c>
      <c r="E4" s="48">
        <f t="shared" ref="E4:E8" si="2">C4/D4</f>
        <v>50.420875420875419</v>
      </c>
      <c r="F4" s="105">
        <v>1215</v>
      </c>
      <c r="G4" s="106">
        <v>65</v>
      </c>
      <c r="H4" s="49">
        <f t="shared" si="0"/>
        <v>18.692307692307693</v>
      </c>
      <c r="I4" s="120">
        <f t="shared" si="1"/>
        <v>16190</v>
      </c>
      <c r="J4" s="120">
        <f t="shared" ref="J4:J8" si="3">D4+G4</f>
        <v>362</v>
      </c>
      <c r="K4" s="51">
        <f t="shared" ref="K4:K8" si="4">I4/J4</f>
        <v>44.723756906077348</v>
      </c>
    </row>
    <row r="5" spans="2:11" ht="12.75" customHeight="1">
      <c r="B5" s="45" t="s">
        <v>11</v>
      </c>
      <c r="C5" s="96">
        <v>9649</v>
      </c>
      <c r="D5" s="97">
        <v>294</v>
      </c>
      <c r="E5" s="48">
        <f t="shared" si="2"/>
        <v>32.819727891156461</v>
      </c>
      <c r="F5" s="105">
        <v>827</v>
      </c>
      <c r="G5" s="106">
        <v>83</v>
      </c>
      <c r="H5" s="49">
        <f t="shared" si="0"/>
        <v>9.9638554216867465</v>
      </c>
      <c r="I5" s="120">
        <f t="shared" si="1"/>
        <v>10476</v>
      </c>
      <c r="J5" s="120">
        <f t="shared" si="3"/>
        <v>377</v>
      </c>
      <c r="K5" s="51">
        <f t="shared" si="4"/>
        <v>27.787798408488065</v>
      </c>
    </row>
    <row r="6" spans="2:11" ht="12.75" customHeight="1">
      <c r="B6" s="45" t="s">
        <v>12</v>
      </c>
      <c r="C6" s="96">
        <v>25798</v>
      </c>
      <c r="D6" s="97">
        <v>784</v>
      </c>
      <c r="E6" s="48">
        <f t="shared" si="2"/>
        <v>32.905612244897959</v>
      </c>
      <c r="F6" s="105">
        <v>1906</v>
      </c>
      <c r="G6" s="106">
        <v>163</v>
      </c>
      <c r="H6" s="49">
        <f t="shared" si="0"/>
        <v>11.693251533742332</v>
      </c>
      <c r="I6" s="120">
        <f t="shared" si="1"/>
        <v>27704</v>
      </c>
      <c r="J6" s="120">
        <f t="shared" si="3"/>
        <v>947</v>
      </c>
      <c r="K6" s="51">
        <f t="shared" si="4"/>
        <v>29.254487856388597</v>
      </c>
    </row>
    <row r="7" spans="2:11" ht="12.75" customHeight="1">
      <c r="B7" s="45" t="s">
        <v>21</v>
      </c>
      <c r="C7" s="96">
        <v>14911</v>
      </c>
      <c r="D7" s="97">
        <v>411</v>
      </c>
      <c r="E7" s="48">
        <f t="shared" si="2"/>
        <v>36.279805352798057</v>
      </c>
      <c r="F7" s="105">
        <v>948</v>
      </c>
      <c r="G7" s="106">
        <v>98</v>
      </c>
      <c r="H7" s="49">
        <f t="shared" si="0"/>
        <v>9.6734693877551017</v>
      </c>
      <c r="I7" s="120">
        <f t="shared" si="1"/>
        <v>15859</v>
      </c>
      <c r="J7" s="120">
        <f t="shared" si="3"/>
        <v>509</v>
      </c>
      <c r="K7" s="51">
        <f t="shared" si="4"/>
        <v>31.157170923379176</v>
      </c>
    </row>
    <row r="8" spans="2:11" ht="12.75" customHeight="1">
      <c r="B8" s="45" t="s">
        <v>13</v>
      </c>
      <c r="C8" s="96">
        <v>82456</v>
      </c>
      <c r="D8" s="97">
        <v>2183</v>
      </c>
      <c r="E8" s="48">
        <f t="shared" si="2"/>
        <v>37.771873568483741</v>
      </c>
      <c r="F8" s="105">
        <v>2852</v>
      </c>
      <c r="G8" s="106">
        <v>192</v>
      </c>
      <c r="H8" s="49">
        <f t="shared" si="0"/>
        <v>14.854166666666666</v>
      </c>
      <c r="I8" s="120">
        <f t="shared" si="1"/>
        <v>85308</v>
      </c>
      <c r="J8" s="120">
        <f t="shared" si="3"/>
        <v>2375</v>
      </c>
      <c r="K8" s="51">
        <f t="shared" si="4"/>
        <v>35.919157894736841</v>
      </c>
    </row>
    <row r="9" spans="2:11" ht="12.75" customHeight="1">
      <c r="B9" s="53"/>
      <c r="C9" s="100"/>
      <c r="D9" s="101"/>
      <c r="E9" s="56"/>
      <c r="F9" s="107"/>
      <c r="G9" s="108"/>
      <c r="H9" s="57"/>
      <c r="I9" s="121"/>
      <c r="J9" s="121"/>
      <c r="K9" s="59"/>
    </row>
    <row r="10" spans="2:11" ht="12.75" customHeight="1">
      <c r="B10" s="124" t="s">
        <v>81</v>
      </c>
      <c r="C10" s="125">
        <f>I25</f>
        <v>169220</v>
      </c>
      <c r="D10" s="125">
        <f>J25</f>
        <v>4554</v>
      </c>
      <c r="E10" s="127">
        <f>C10/D10</f>
        <v>37.158541941150638</v>
      </c>
      <c r="F10" s="125">
        <v>8960</v>
      </c>
      <c r="G10" s="125">
        <v>719</v>
      </c>
      <c r="H10" s="128">
        <f>F10/G10</f>
        <v>12.461752433936022</v>
      </c>
      <c r="I10" s="129">
        <f>C10+F10</f>
        <v>178180</v>
      </c>
      <c r="J10" s="129">
        <f>D10+G10</f>
        <v>5273</v>
      </c>
      <c r="K10" s="130">
        <f>I10/J10</f>
        <v>33.791010809785703</v>
      </c>
    </row>
    <row r="11" spans="2:11" ht="12.75" customHeight="1">
      <c r="B11" s="182" t="s">
        <v>129</v>
      </c>
      <c r="C11" s="185"/>
      <c r="D11" s="125"/>
      <c r="E11" s="127"/>
      <c r="F11" s="125"/>
      <c r="G11" s="125"/>
      <c r="H11" s="128"/>
      <c r="I11" s="129"/>
      <c r="J11" s="129"/>
      <c r="K11" s="130"/>
    </row>
    <row r="12" spans="2:11" ht="12.75" customHeight="1">
      <c r="B12" s="124" t="s">
        <v>79</v>
      </c>
      <c r="C12" s="125">
        <f>SUM(C3:C8)</f>
        <v>161968</v>
      </c>
      <c r="D12" s="125">
        <f>SUM(D3:D8)</f>
        <v>4386</v>
      </c>
      <c r="E12" s="127"/>
      <c r="F12" s="125">
        <f>SUM(F3:F8)</f>
        <v>8539</v>
      </c>
      <c r="G12" s="125">
        <f>SUM(G3:G8)</f>
        <v>690</v>
      </c>
      <c r="H12" s="128"/>
      <c r="I12" s="129">
        <f>C12+F12</f>
        <v>170507</v>
      </c>
      <c r="J12" s="129">
        <f>D12+G12</f>
        <v>5076</v>
      </c>
      <c r="K12" s="130"/>
    </row>
    <row r="13" spans="2:11" ht="12.75" customHeight="1">
      <c r="B13" s="186" t="s">
        <v>80</v>
      </c>
      <c r="C13" s="102"/>
      <c r="D13" s="102"/>
      <c r="F13" s="109"/>
      <c r="G13" s="109"/>
      <c r="I13" s="180"/>
      <c r="J13" s="180"/>
    </row>
    <row r="14" spans="2:11" ht="5.45" customHeight="1">
      <c r="B14" s="187"/>
      <c r="C14" s="188"/>
      <c r="D14" s="188"/>
      <c r="E14" s="187"/>
      <c r="F14" s="189"/>
      <c r="G14" s="189"/>
      <c r="H14" s="187"/>
      <c r="I14" s="189"/>
      <c r="J14" s="189"/>
      <c r="K14" s="187"/>
    </row>
    <row r="15" spans="2:11" ht="5.45" customHeight="1">
      <c r="C15" s="102"/>
      <c r="D15" s="102"/>
      <c r="F15" s="109"/>
      <c r="G15" s="109"/>
      <c r="I15" s="109"/>
      <c r="J15" s="109"/>
    </row>
    <row r="16" spans="2:11" ht="12.75" customHeight="1">
      <c r="B16" s="16" t="s">
        <v>128</v>
      </c>
      <c r="C16" s="294" t="s">
        <v>75</v>
      </c>
      <c r="D16" s="294"/>
      <c r="E16" s="295"/>
      <c r="F16" s="301" t="s">
        <v>76</v>
      </c>
      <c r="G16" s="294"/>
      <c r="H16" s="295"/>
      <c r="I16" s="302" t="s">
        <v>77</v>
      </c>
      <c r="J16" s="303"/>
      <c r="K16" s="303"/>
    </row>
    <row r="17" spans="2:11" ht="12.75" customHeight="1">
      <c r="B17" s="83"/>
      <c r="C17" s="132" t="s">
        <v>5</v>
      </c>
      <c r="D17" s="133" t="s">
        <v>6</v>
      </c>
      <c r="E17" s="137" t="s">
        <v>7</v>
      </c>
      <c r="F17" s="134" t="s">
        <v>5</v>
      </c>
      <c r="G17" s="135" t="s">
        <v>6</v>
      </c>
      <c r="H17" s="138" t="s">
        <v>8</v>
      </c>
      <c r="I17" s="136" t="s">
        <v>5</v>
      </c>
      <c r="J17" s="136" t="s">
        <v>6</v>
      </c>
      <c r="K17" s="139" t="s">
        <v>8</v>
      </c>
    </row>
    <row r="18" spans="2:11" ht="12.75" customHeight="1">
      <c r="B18" s="157" t="s">
        <v>9</v>
      </c>
      <c r="C18" s="96">
        <v>8495</v>
      </c>
      <c r="D18" s="97">
        <v>199</v>
      </c>
      <c r="E18" s="158">
        <f t="shared" ref="E18:E23" si="5">C18/D18</f>
        <v>42.688442211055275</v>
      </c>
      <c r="F18" s="96">
        <v>5684</v>
      </c>
      <c r="G18" s="97">
        <v>218</v>
      </c>
      <c r="H18" s="159">
        <f t="shared" ref="H18:H23" si="6">F18/G18</f>
        <v>26.073394495412845</v>
      </c>
      <c r="I18" s="160">
        <f t="shared" ref="I18:I23" si="7">C18+F18</f>
        <v>14179</v>
      </c>
      <c r="J18" s="160">
        <f t="shared" ref="J18:J23" si="8">D18+G18</f>
        <v>417</v>
      </c>
      <c r="K18" s="161">
        <f t="shared" ref="K18:K23" si="9">I18/J18</f>
        <v>34.002398081534771</v>
      </c>
    </row>
    <row r="19" spans="2:11" ht="12.75" customHeight="1">
      <c r="B19" s="162" t="s">
        <v>10</v>
      </c>
      <c r="C19" s="98">
        <v>3813</v>
      </c>
      <c r="D19" s="99">
        <v>50</v>
      </c>
      <c r="E19" s="163">
        <f t="shared" si="5"/>
        <v>76.260000000000005</v>
      </c>
      <c r="F19" s="98">
        <v>11162</v>
      </c>
      <c r="G19" s="99">
        <v>247</v>
      </c>
      <c r="H19" s="164">
        <f t="shared" si="6"/>
        <v>45.190283400809719</v>
      </c>
      <c r="I19" s="165">
        <f t="shared" si="7"/>
        <v>14975</v>
      </c>
      <c r="J19" s="165">
        <f t="shared" si="8"/>
        <v>297</v>
      </c>
      <c r="K19" s="166">
        <f t="shared" si="9"/>
        <v>50.420875420875419</v>
      </c>
    </row>
    <row r="20" spans="2:11" ht="12.75" customHeight="1">
      <c r="B20" s="162" t="s">
        <v>11</v>
      </c>
      <c r="C20" s="98">
        <v>5539</v>
      </c>
      <c r="D20" s="99">
        <v>149</v>
      </c>
      <c r="E20" s="163">
        <f t="shared" si="5"/>
        <v>37.174496644295303</v>
      </c>
      <c r="F20" s="98">
        <v>4110</v>
      </c>
      <c r="G20" s="99">
        <v>145</v>
      </c>
      <c r="H20" s="164">
        <f t="shared" si="6"/>
        <v>28.344827586206897</v>
      </c>
      <c r="I20" s="165">
        <f t="shared" si="7"/>
        <v>9649</v>
      </c>
      <c r="J20" s="165">
        <f t="shared" si="8"/>
        <v>294</v>
      </c>
      <c r="K20" s="166">
        <f t="shared" si="9"/>
        <v>32.819727891156461</v>
      </c>
    </row>
    <row r="21" spans="2:11" ht="12.75" customHeight="1">
      <c r="B21" s="162" t="s">
        <v>12</v>
      </c>
      <c r="C21" s="98">
        <v>11764</v>
      </c>
      <c r="D21" s="99">
        <v>315</v>
      </c>
      <c r="E21" s="163">
        <f t="shared" si="5"/>
        <v>37.346031746031748</v>
      </c>
      <c r="F21" s="98">
        <v>14034</v>
      </c>
      <c r="G21" s="99">
        <v>469</v>
      </c>
      <c r="H21" s="164">
        <f t="shared" si="6"/>
        <v>29.923240938166312</v>
      </c>
      <c r="I21" s="165">
        <f>C21+F21</f>
        <v>25798</v>
      </c>
      <c r="J21" s="165">
        <f t="shared" si="8"/>
        <v>784</v>
      </c>
      <c r="K21" s="166">
        <f t="shared" si="9"/>
        <v>32.905612244897959</v>
      </c>
    </row>
    <row r="22" spans="2:11" ht="12.75" customHeight="1">
      <c r="B22" s="162" t="s">
        <v>21</v>
      </c>
      <c r="C22" s="98">
        <v>8434</v>
      </c>
      <c r="D22" s="99">
        <v>192</v>
      </c>
      <c r="E22" s="163">
        <f t="shared" si="5"/>
        <v>43.927083333333336</v>
      </c>
      <c r="F22" s="98">
        <v>6477</v>
      </c>
      <c r="G22" s="99">
        <v>219</v>
      </c>
      <c r="H22" s="164">
        <f t="shared" si="6"/>
        <v>29.575342465753426</v>
      </c>
      <c r="I22" s="165">
        <f t="shared" si="7"/>
        <v>14911</v>
      </c>
      <c r="J22" s="165">
        <f t="shared" si="8"/>
        <v>411</v>
      </c>
      <c r="K22" s="166">
        <f t="shared" si="9"/>
        <v>36.279805352798057</v>
      </c>
    </row>
    <row r="23" spans="2:11" ht="12.75" customHeight="1">
      <c r="B23" s="162" t="s">
        <v>13</v>
      </c>
      <c r="C23" s="98">
        <f>352+62048</f>
        <v>62400</v>
      </c>
      <c r="D23" s="99">
        <f>14+1511</f>
        <v>1525</v>
      </c>
      <c r="E23" s="163">
        <f t="shared" si="5"/>
        <v>40.918032786885249</v>
      </c>
      <c r="F23" s="98">
        <v>20056</v>
      </c>
      <c r="G23" s="99">
        <v>658</v>
      </c>
      <c r="H23" s="164">
        <f t="shared" si="6"/>
        <v>30.480243161094226</v>
      </c>
      <c r="I23" s="165">
        <f t="shared" si="7"/>
        <v>82456</v>
      </c>
      <c r="J23" s="165">
        <f t="shared" si="8"/>
        <v>2183</v>
      </c>
      <c r="K23" s="166">
        <f t="shared" si="9"/>
        <v>37.771873568483741</v>
      </c>
    </row>
    <row r="24" spans="2:11" ht="12.75" customHeight="1">
      <c r="B24" s="167"/>
      <c r="C24" s="100"/>
      <c r="D24" s="101"/>
      <c r="E24" s="168"/>
      <c r="F24" s="100"/>
      <c r="G24" s="101"/>
      <c r="H24" s="169"/>
      <c r="I24" s="155"/>
      <c r="J24" s="155"/>
      <c r="K24" s="170"/>
    </row>
    <row r="25" spans="2:11" ht="12.75" customHeight="1">
      <c r="B25" s="124" t="s">
        <v>81</v>
      </c>
      <c r="C25" s="154">
        <v>106949</v>
      </c>
      <c r="D25" s="125">
        <v>2525</v>
      </c>
      <c r="E25" s="127">
        <f>C25/D25</f>
        <v>42.356039603960397</v>
      </c>
      <c r="F25" s="125">
        <v>62271</v>
      </c>
      <c r="G25" s="125">
        <v>2029</v>
      </c>
      <c r="H25" s="128">
        <f t="shared" ref="H25" si="10">F25/G25</f>
        <v>30.690487925086249</v>
      </c>
      <c r="I25" s="129">
        <f>C25+F25</f>
        <v>169220</v>
      </c>
      <c r="J25" s="129">
        <f>D25+G25</f>
        <v>4554</v>
      </c>
      <c r="K25" s="130">
        <f t="shared" ref="K25" si="11">I25/J25</f>
        <v>37.158541941150638</v>
      </c>
    </row>
    <row r="26" spans="2:11" ht="12.75" customHeight="1">
      <c r="B26" s="182" t="s">
        <v>130</v>
      </c>
      <c r="C26" s="98"/>
      <c r="D26" s="98"/>
      <c r="E26" s="163"/>
      <c r="F26" s="98"/>
      <c r="G26" s="98"/>
      <c r="H26" s="164"/>
      <c r="I26" s="165"/>
      <c r="J26" s="165"/>
      <c r="K26" s="166"/>
    </row>
    <row r="27" spans="2:11" ht="12.75" customHeight="1">
      <c r="B27" s="124" t="s">
        <v>79</v>
      </c>
      <c r="C27" s="154">
        <f>SUM(C18:C23)</f>
        <v>100445</v>
      </c>
      <c r="D27" s="125">
        <f>SUM(D18:D23)</f>
        <v>2430</v>
      </c>
      <c r="E27" s="127"/>
      <c r="F27" s="125">
        <f>SUM(F18:F23)</f>
        <v>61523</v>
      </c>
      <c r="G27" s="125">
        <f>SUM(G18:G23)</f>
        <v>1956</v>
      </c>
      <c r="H27" s="128"/>
      <c r="I27" s="129">
        <f>C27+F27</f>
        <v>161968</v>
      </c>
      <c r="J27" s="129">
        <f>D27+G27</f>
        <v>4386</v>
      </c>
      <c r="K27" s="130"/>
    </row>
    <row r="28" spans="2:11" ht="12.75" customHeight="1">
      <c r="B28" s="190" t="s">
        <v>80</v>
      </c>
      <c r="C28" s="100"/>
      <c r="D28" s="100"/>
      <c r="F28" s="100"/>
      <c r="G28" s="100"/>
      <c r="I28" s="155"/>
      <c r="J28" s="155"/>
      <c r="K28" s="156"/>
    </row>
    <row r="29" spans="2:11" ht="12.75" customHeight="1">
      <c r="B29" s="191"/>
      <c r="C29" s="102"/>
      <c r="D29" s="102"/>
      <c r="F29" s="102"/>
      <c r="G29" s="102"/>
      <c r="I29" s="102"/>
      <c r="J29" s="102"/>
    </row>
    <row r="30" spans="2:11" ht="12.75" customHeight="1">
      <c r="B30" s="191"/>
      <c r="C30" s="102"/>
      <c r="D30" s="102"/>
      <c r="F30" s="102"/>
      <c r="G30" s="102"/>
      <c r="I30" s="102"/>
      <c r="J30" s="102"/>
    </row>
    <row r="31" spans="2:11" ht="12.75" customHeight="1">
      <c r="B31" s="75"/>
      <c r="C31" s="75"/>
      <c r="D31" s="75"/>
      <c r="E31" s="75"/>
      <c r="F31" s="75"/>
      <c r="G31" s="75"/>
      <c r="H31" s="75"/>
      <c r="I31" s="75"/>
      <c r="J31" s="75"/>
      <c r="K31" s="75"/>
    </row>
    <row r="32" spans="2:11" ht="12.75" customHeight="1">
      <c r="B32" s="16" t="s">
        <v>119</v>
      </c>
      <c r="C32" s="294" t="s">
        <v>2</v>
      </c>
      <c r="D32" s="294"/>
      <c r="E32" s="295"/>
      <c r="F32" s="296" t="s">
        <v>3</v>
      </c>
      <c r="G32" s="297"/>
      <c r="H32" s="298"/>
      <c r="I32" s="299" t="s">
        <v>4</v>
      </c>
      <c r="J32" s="300"/>
      <c r="K32" s="300"/>
    </row>
    <row r="33" spans="2:11" ht="12.75" customHeight="1">
      <c r="B33" s="83"/>
      <c r="C33" s="132" t="s">
        <v>5</v>
      </c>
      <c r="D33" s="133" t="s">
        <v>6</v>
      </c>
      <c r="E33" s="137" t="s">
        <v>7</v>
      </c>
      <c r="F33" s="134" t="s">
        <v>5</v>
      </c>
      <c r="G33" s="135" t="s">
        <v>6</v>
      </c>
      <c r="H33" s="138" t="s">
        <v>8</v>
      </c>
      <c r="I33" s="136" t="s">
        <v>5</v>
      </c>
      <c r="J33" s="136" t="s">
        <v>6</v>
      </c>
      <c r="K33" s="139" t="s">
        <v>8</v>
      </c>
    </row>
    <row r="34" spans="2:11" ht="12.75" customHeight="1">
      <c r="B34" s="37" t="s">
        <v>9</v>
      </c>
      <c r="C34" s="96">
        <f>I49</f>
        <v>15880</v>
      </c>
      <c r="D34" s="97">
        <f>J49</f>
        <v>485</v>
      </c>
      <c r="E34" s="40">
        <f>C34/D34</f>
        <v>32.742268041237111</v>
      </c>
      <c r="F34" s="103">
        <v>809</v>
      </c>
      <c r="G34" s="104">
        <v>98</v>
      </c>
      <c r="H34" s="41">
        <f t="shared" ref="H34:H39" si="12">F34/G34</f>
        <v>8.2551020408163271</v>
      </c>
      <c r="I34" s="119">
        <f t="shared" ref="I34:I39" si="13">C34+F34</f>
        <v>16689</v>
      </c>
      <c r="J34" s="119">
        <f>D34+G34</f>
        <v>583</v>
      </c>
      <c r="K34" s="43">
        <f>I34/J34</f>
        <v>28.626072041166381</v>
      </c>
    </row>
    <row r="35" spans="2:11" ht="12.75" customHeight="1">
      <c r="B35" s="45" t="s">
        <v>10</v>
      </c>
      <c r="C35" s="96">
        <f t="shared" ref="C35:C39" si="14">I50</f>
        <v>14050</v>
      </c>
      <c r="D35" s="97">
        <f t="shared" ref="D35:D39" si="15">J50</f>
        <v>305</v>
      </c>
      <c r="E35" s="48">
        <f t="shared" ref="E35:E39" si="16">C35/D35</f>
        <v>46.065573770491802</v>
      </c>
      <c r="F35" s="105">
        <v>1176</v>
      </c>
      <c r="G35" s="106">
        <v>69</v>
      </c>
      <c r="H35" s="49">
        <f t="shared" si="12"/>
        <v>17.043478260869566</v>
      </c>
      <c r="I35" s="120">
        <f t="shared" si="13"/>
        <v>15226</v>
      </c>
      <c r="J35" s="120">
        <f t="shared" ref="J35:J39" si="17">D35+G35</f>
        <v>374</v>
      </c>
      <c r="K35" s="51">
        <f t="shared" ref="K35:K39" si="18">I35/J35</f>
        <v>40.711229946524064</v>
      </c>
    </row>
    <row r="36" spans="2:11" ht="12.75" customHeight="1">
      <c r="B36" s="45" t="s">
        <v>11</v>
      </c>
      <c r="C36" s="96">
        <f t="shared" si="14"/>
        <v>9459</v>
      </c>
      <c r="D36" s="97">
        <f t="shared" si="15"/>
        <v>274</v>
      </c>
      <c r="E36" s="48">
        <f t="shared" si="16"/>
        <v>34.521897810218981</v>
      </c>
      <c r="F36" s="105">
        <v>886</v>
      </c>
      <c r="G36" s="106">
        <f>68+9</f>
        <v>77</v>
      </c>
      <c r="H36" s="49">
        <f t="shared" si="12"/>
        <v>11.506493506493506</v>
      </c>
      <c r="I36" s="120">
        <f t="shared" si="13"/>
        <v>10345</v>
      </c>
      <c r="J36" s="120">
        <f t="shared" si="17"/>
        <v>351</v>
      </c>
      <c r="K36" s="51">
        <f t="shared" si="18"/>
        <v>29.472934472934472</v>
      </c>
    </row>
    <row r="37" spans="2:11" ht="12.75" customHeight="1">
      <c r="B37" s="45" t="s">
        <v>12</v>
      </c>
      <c r="C37" s="96">
        <f t="shared" si="14"/>
        <v>21106</v>
      </c>
      <c r="D37" s="97">
        <f t="shared" si="15"/>
        <v>597</v>
      </c>
      <c r="E37" s="48">
        <f t="shared" si="16"/>
        <v>35.353433835845898</v>
      </c>
      <c r="F37" s="105">
        <v>1994</v>
      </c>
      <c r="G37" s="106">
        <v>159</v>
      </c>
      <c r="H37" s="49">
        <f t="shared" si="12"/>
        <v>12.540880503144654</v>
      </c>
      <c r="I37" s="120">
        <f t="shared" si="13"/>
        <v>23100</v>
      </c>
      <c r="J37" s="120">
        <f t="shared" si="17"/>
        <v>756</v>
      </c>
      <c r="K37" s="51">
        <f t="shared" si="18"/>
        <v>30.555555555555557</v>
      </c>
    </row>
    <row r="38" spans="2:11" ht="12.75" customHeight="1">
      <c r="B38" s="45" t="s">
        <v>21</v>
      </c>
      <c r="C38" s="96">
        <f t="shared" si="14"/>
        <v>15130</v>
      </c>
      <c r="D38" s="97">
        <f t="shared" si="15"/>
        <v>413</v>
      </c>
      <c r="E38" s="48">
        <f t="shared" si="16"/>
        <v>36.634382566585955</v>
      </c>
      <c r="F38" s="105">
        <v>958</v>
      </c>
      <c r="G38" s="106">
        <v>97</v>
      </c>
      <c r="H38" s="49">
        <f t="shared" si="12"/>
        <v>9.8762886597938149</v>
      </c>
      <c r="I38" s="120">
        <f t="shared" si="13"/>
        <v>16088</v>
      </c>
      <c r="J38" s="120">
        <f t="shared" si="17"/>
        <v>510</v>
      </c>
      <c r="K38" s="51">
        <f t="shared" si="18"/>
        <v>31.545098039215688</v>
      </c>
    </row>
    <row r="39" spans="2:11" ht="12.75" customHeight="1">
      <c r="B39" s="45" t="s">
        <v>13</v>
      </c>
      <c r="C39" s="96">
        <f t="shared" si="14"/>
        <v>73591</v>
      </c>
      <c r="D39" s="97">
        <f t="shared" si="15"/>
        <v>1935</v>
      </c>
      <c r="E39" s="48">
        <f t="shared" si="16"/>
        <v>38.03152454780362</v>
      </c>
      <c r="F39" s="105">
        <v>2534</v>
      </c>
      <c r="G39" s="106">
        <v>174</v>
      </c>
      <c r="H39" s="49">
        <f t="shared" si="12"/>
        <v>14.563218390804598</v>
      </c>
      <c r="I39" s="120">
        <f t="shared" si="13"/>
        <v>76125</v>
      </c>
      <c r="J39" s="120">
        <f t="shared" si="17"/>
        <v>2109</v>
      </c>
      <c r="K39" s="51">
        <f t="shared" si="18"/>
        <v>36.095305832147936</v>
      </c>
    </row>
    <row r="40" spans="2:11" ht="12.75" customHeight="1">
      <c r="B40" s="53"/>
      <c r="C40" s="100"/>
      <c r="D40" s="101"/>
      <c r="E40" s="56"/>
      <c r="F40" s="107"/>
      <c r="G40" s="108"/>
      <c r="H40" s="57"/>
      <c r="I40" s="121"/>
      <c r="J40" s="121"/>
      <c r="K40" s="59"/>
    </row>
    <row r="41" spans="2:11" ht="12.75" customHeight="1">
      <c r="B41" s="124" t="s">
        <v>81</v>
      </c>
      <c r="C41" s="125">
        <f>I56</f>
        <v>164670</v>
      </c>
      <c r="D41" s="125">
        <f>J56</f>
        <v>4320</v>
      </c>
      <c r="E41" s="127">
        <f>C41/D41</f>
        <v>38.118055555555557</v>
      </c>
      <c r="F41" s="125">
        <v>8956</v>
      </c>
      <c r="G41" s="125">
        <v>713</v>
      </c>
      <c r="H41" s="128">
        <f>F41/G41</f>
        <v>12.56100981767181</v>
      </c>
      <c r="I41" s="129">
        <f>C41+F41</f>
        <v>173626</v>
      </c>
      <c r="J41" s="129">
        <f>D41+G41</f>
        <v>5033</v>
      </c>
      <c r="K41" s="130">
        <f>I41/J41</f>
        <v>34.497516391814024</v>
      </c>
    </row>
    <row r="42" spans="2:11" ht="12.75" customHeight="1">
      <c r="B42" s="182" t="s">
        <v>78</v>
      </c>
      <c r="C42" s="185"/>
      <c r="D42" s="125"/>
      <c r="E42" s="127"/>
      <c r="F42" s="125"/>
      <c r="G42" s="125"/>
      <c r="H42" s="128"/>
      <c r="I42" s="129"/>
      <c r="J42" s="129"/>
      <c r="K42" s="130"/>
    </row>
    <row r="43" spans="2:11" ht="12.75" customHeight="1">
      <c r="B43" s="124" t="s">
        <v>79</v>
      </c>
      <c r="C43" s="125">
        <f>SUM(C34:C39)</f>
        <v>149216</v>
      </c>
      <c r="D43" s="125">
        <f>SUM(D34:D39)</f>
        <v>4009</v>
      </c>
      <c r="E43" s="127"/>
      <c r="F43" s="125">
        <f>SUM(F34:F39)</f>
        <v>8357</v>
      </c>
      <c r="G43" s="125">
        <f>SUM(G34:G39)</f>
        <v>674</v>
      </c>
      <c r="H43" s="128"/>
      <c r="I43" s="129">
        <f>C43+F43</f>
        <v>157573</v>
      </c>
      <c r="J43" s="129">
        <f>D43+G43</f>
        <v>4683</v>
      </c>
      <c r="K43" s="130"/>
    </row>
    <row r="44" spans="2:11" ht="12.75" customHeight="1">
      <c r="B44" s="186" t="s">
        <v>80</v>
      </c>
      <c r="C44" s="102"/>
      <c r="D44" s="102"/>
      <c r="F44" s="109"/>
      <c r="G44" s="109"/>
      <c r="I44" s="180"/>
      <c r="J44" s="180"/>
    </row>
    <row r="45" spans="2:11" ht="5.45" customHeight="1">
      <c r="B45" s="187"/>
      <c r="C45" s="188"/>
      <c r="D45" s="188"/>
      <c r="E45" s="187"/>
      <c r="F45" s="189"/>
      <c r="G45" s="189"/>
      <c r="H45" s="187"/>
      <c r="I45" s="189"/>
      <c r="J45" s="189"/>
      <c r="K45" s="187"/>
    </row>
    <row r="46" spans="2:11" ht="5.45" customHeight="1">
      <c r="C46" s="102"/>
      <c r="D46" s="102"/>
      <c r="F46" s="109"/>
      <c r="G46" s="109"/>
      <c r="I46" s="109"/>
      <c r="J46" s="109"/>
    </row>
    <row r="47" spans="2:11" ht="12.75" customHeight="1">
      <c r="B47" s="16" t="s">
        <v>119</v>
      </c>
      <c r="C47" s="294" t="s">
        <v>75</v>
      </c>
      <c r="D47" s="294"/>
      <c r="E47" s="295"/>
      <c r="F47" s="301" t="s">
        <v>76</v>
      </c>
      <c r="G47" s="294"/>
      <c r="H47" s="295"/>
      <c r="I47" s="302" t="s">
        <v>77</v>
      </c>
      <c r="J47" s="303"/>
      <c r="K47" s="303"/>
    </row>
    <row r="48" spans="2:11" ht="12.75" customHeight="1">
      <c r="B48" s="83"/>
      <c r="C48" s="132" t="s">
        <v>5</v>
      </c>
      <c r="D48" s="133" t="s">
        <v>6</v>
      </c>
      <c r="E48" s="137" t="s">
        <v>7</v>
      </c>
      <c r="F48" s="134" t="s">
        <v>5</v>
      </c>
      <c r="G48" s="135" t="s">
        <v>6</v>
      </c>
      <c r="H48" s="138" t="s">
        <v>8</v>
      </c>
      <c r="I48" s="136" t="s">
        <v>5</v>
      </c>
      <c r="J48" s="136" t="s">
        <v>6</v>
      </c>
      <c r="K48" s="139" t="s">
        <v>8</v>
      </c>
    </row>
    <row r="49" spans="2:11" ht="12.75" customHeight="1">
      <c r="B49" s="157" t="s">
        <v>9</v>
      </c>
      <c r="C49" s="96">
        <v>8105</v>
      </c>
      <c r="D49" s="97">
        <v>190</v>
      </c>
      <c r="E49" s="158">
        <f t="shared" ref="E49:E54" si="19">C49/D49</f>
        <v>42.657894736842103</v>
      </c>
      <c r="F49" s="96">
        <v>7775</v>
      </c>
      <c r="G49" s="97">
        <v>295</v>
      </c>
      <c r="H49" s="159">
        <f t="shared" ref="H49:H54" si="20">F49/G49</f>
        <v>26.35593220338983</v>
      </c>
      <c r="I49" s="160">
        <f t="shared" ref="I49:I54" si="21">C49+F49</f>
        <v>15880</v>
      </c>
      <c r="J49" s="160">
        <f t="shared" ref="J49:J54" si="22">D49+G49</f>
        <v>485</v>
      </c>
      <c r="K49" s="161">
        <f t="shared" ref="K49:K54" si="23">I49/J49</f>
        <v>32.742268041237111</v>
      </c>
    </row>
    <row r="50" spans="2:11" ht="12.75" customHeight="1">
      <c r="B50" s="162" t="s">
        <v>10</v>
      </c>
      <c r="C50" s="98">
        <v>3631</v>
      </c>
      <c r="D50" s="99">
        <v>53</v>
      </c>
      <c r="E50" s="163">
        <f t="shared" si="19"/>
        <v>68.509433962264154</v>
      </c>
      <c r="F50" s="98">
        <v>10419</v>
      </c>
      <c r="G50" s="99">
        <v>252</v>
      </c>
      <c r="H50" s="164">
        <f t="shared" si="20"/>
        <v>41.345238095238095</v>
      </c>
      <c r="I50" s="165">
        <f t="shared" si="21"/>
        <v>14050</v>
      </c>
      <c r="J50" s="165">
        <f t="shared" si="22"/>
        <v>305</v>
      </c>
      <c r="K50" s="166">
        <f t="shared" si="23"/>
        <v>46.065573770491802</v>
      </c>
    </row>
    <row r="51" spans="2:11" ht="12.75" customHeight="1">
      <c r="B51" s="162" t="s">
        <v>11</v>
      </c>
      <c r="C51" s="98">
        <v>5616</v>
      </c>
      <c r="D51" s="99">
        <v>134</v>
      </c>
      <c r="E51" s="163">
        <f t="shared" si="19"/>
        <v>41.910447761194028</v>
      </c>
      <c r="F51" s="98">
        <v>3843</v>
      </c>
      <c r="G51" s="99">
        <v>140</v>
      </c>
      <c r="H51" s="164">
        <f t="shared" si="20"/>
        <v>27.45</v>
      </c>
      <c r="I51" s="165">
        <f t="shared" si="21"/>
        <v>9459</v>
      </c>
      <c r="J51" s="165">
        <f t="shared" si="22"/>
        <v>274</v>
      </c>
      <c r="K51" s="166">
        <f t="shared" si="23"/>
        <v>34.521897810218981</v>
      </c>
    </row>
    <row r="52" spans="2:11" ht="12.75" customHeight="1">
      <c r="B52" s="162" t="s">
        <v>12</v>
      </c>
      <c r="C52" s="98">
        <v>10533</v>
      </c>
      <c r="D52" s="99">
        <v>269</v>
      </c>
      <c r="E52" s="163">
        <f t="shared" si="19"/>
        <v>39.156133828996282</v>
      </c>
      <c r="F52" s="98">
        <v>10573</v>
      </c>
      <c r="G52" s="99">
        <v>328</v>
      </c>
      <c r="H52" s="164">
        <f t="shared" si="20"/>
        <v>32.234756097560975</v>
      </c>
      <c r="I52" s="165">
        <f t="shared" si="21"/>
        <v>21106</v>
      </c>
      <c r="J52" s="165">
        <f t="shared" si="22"/>
        <v>597</v>
      </c>
      <c r="K52" s="166">
        <f t="shared" si="23"/>
        <v>35.353433835845898</v>
      </c>
    </row>
    <row r="53" spans="2:11" ht="12.75" customHeight="1">
      <c r="B53" s="162" t="s">
        <v>21</v>
      </c>
      <c r="C53" s="98">
        <v>8714</v>
      </c>
      <c r="D53" s="99">
        <v>198</v>
      </c>
      <c r="E53" s="163">
        <f t="shared" si="19"/>
        <v>44.01010101010101</v>
      </c>
      <c r="F53" s="98">
        <v>6416</v>
      </c>
      <c r="G53" s="99">
        <v>215</v>
      </c>
      <c r="H53" s="164">
        <f t="shared" si="20"/>
        <v>29.84186046511628</v>
      </c>
      <c r="I53" s="165">
        <f t="shared" si="21"/>
        <v>15130</v>
      </c>
      <c r="J53" s="165">
        <f t="shared" si="22"/>
        <v>413</v>
      </c>
      <c r="K53" s="166">
        <f t="shared" si="23"/>
        <v>36.634382566585955</v>
      </c>
    </row>
    <row r="54" spans="2:11" ht="12.75" customHeight="1">
      <c r="B54" s="162" t="s">
        <v>13</v>
      </c>
      <c r="C54" s="98">
        <v>56547</v>
      </c>
      <c r="D54" s="99">
        <v>1330</v>
      </c>
      <c r="E54" s="163">
        <f t="shared" si="19"/>
        <v>42.51654135338346</v>
      </c>
      <c r="F54" s="98">
        <v>17044</v>
      </c>
      <c r="G54" s="99">
        <v>605</v>
      </c>
      <c r="H54" s="164">
        <f t="shared" si="20"/>
        <v>28.171900826446279</v>
      </c>
      <c r="I54" s="165">
        <f t="shared" si="21"/>
        <v>73591</v>
      </c>
      <c r="J54" s="165">
        <f t="shared" si="22"/>
        <v>1935</v>
      </c>
      <c r="K54" s="166">
        <f t="shared" si="23"/>
        <v>38.03152454780362</v>
      </c>
    </row>
    <row r="55" spans="2:11" ht="12.75" customHeight="1">
      <c r="B55" s="167"/>
      <c r="C55" s="100"/>
      <c r="D55" s="101"/>
      <c r="E55" s="168"/>
      <c r="F55" s="100"/>
      <c r="G55" s="101"/>
      <c r="H55" s="169"/>
      <c r="I55" s="155"/>
      <c r="J55" s="155"/>
      <c r="K55" s="170"/>
    </row>
    <row r="56" spans="2:11" ht="12.75" customHeight="1">
      <c r="B56" s="124" t="s">
        <v>81</v>
      </c>
      <c r="C56" s="154">
        <v>105681</v>
      </c>
      <c r="D56" s="125">
        <v>2393</v>
      </c>
      <c r="E56" s="127">
        <f>C56/D56</f>
        <v>44.162557459256163</v>
      </c>
      <c r="F56" s="125">
        <v>58989</v>
      </c>
      <c r="G56" s="125">
        <v>1927</v>
      </c>
      <c r="H56" s="128">
        <f t="shared" ref="H56" si="24">F56/G56</f>
        <v>30.61183186299948</v>
      </c>
      <c r="I56" s="129">
        <f t="shared" ref="I56" si="25">C56+F56</f>
        <v>164670</v>
      </c>
      <c r="J56" s="129">
        <f>D56+G56</f>
        <v>4320</v>
      </c>
      <c r="K56" s="130">
        <f t="shared" ref="K56" si="26">I56/J56</f>
        <v>38.118055555555557</v>
      </c>
    </row>
    <row r="57" spans="2:11" ht="12.75" customHeight="1">
      <c r="B57" s="182" t="s">
        <v>78</v>
      </c>
      <c r="C57" s="98"/>
      <c r="D57" s="98"/>
      <c r="E57" s="163"/>
      <c r="F57" s="98"/>
      <c r="G57" s="98"/>
      <c r="H57" s="164"/>
      <c r="I57" s="165"/>
      <c r="J57" s="165"/>
      <c r="K57" s="166"/>
    </row>
    <row r="58" spans="2:11" ht="12.75" customHeight="1">
      <c r="B58" s="124" t="s">
        <v>79</v>
      </c>
      <c r="C58" s="154">
        <f>SUM(C49:C54)</f>
        <v>93146</v>
      </c>
      <c r="D58" s="125">
        <f>SUM(D49:D54)</f>
        <v>2174</v>
      </c>
      <c r="E58" s="127"/>
      <c r="F58" s="125">
        <f>SUM(F49:F54)</f>
        <v>56070</v>
      </c>
      <c r="G58" s="125">
        <f>SUM(G49:G54)</f>
        <v>1835</v>
      </c>
      <c r="H58" s="128"/>
      <c r="I58" s="129">
        <f>C58+F58</f>
        <v>149216</v>
      </c>
      <c r="J58" s="129">
        <f>D58+G58</f>
        <v>4009</v>
      </c>
      <c r="K58" s="130"/>
    </row>
    <row r="59" spans="2:11" ht="12.75" customHeight="1">
      <c r="B59" s="190" t="s">
        <v>80</v>
      </c>
      <c r="C59" s="100"/>
      <c r="D59" s="100"/>
      <c r="F59" s="100"/>
      <c r="G59" s="100"/>
      <c r="I59" s="155"/>
      <c r="J59" s="155"/>
      <c r="K59" s="156"/>
    </row>
    <row r="60" spans="2:11" ht="12.75" customHeight="1">
      <c r="B60" s="191"/>
      <c r="C60" s="102"/>
      <c r="D60" s="102"/>
      <c r="F60" s="102"/>
      <c r="G60" s="102"/>
      <c r="I60" s="102"/>
      <c r="J60" s="102"/>
    </row>
    <row r="61" spans="2:11" ht="12.75" customHeight="1">
      <c r="B61" s="191"/>
      <c r="C61" s="102"/>
      <c r="D61" s="102"/>
      <c r="F61" s="102"/>
      <c r="G61" s="102"/>
      <c r="I61" s="102"/>
      <c r="J61" s="102"/>
    </row>
    <row r="62" spans="2:11" ht="12.75" customHeight="1">
      <c r="B62" s="75"/>
      <c r="C62" s="75"/>
      <c r="D62" s="75"/>
      <c r="E62" s="75"/>
      <c r="F62" s="75"/>
      <c r="G62" s="75"/>
      <c r="H62" s="75"/>
      <c r="I62" s="75"/>
      <c r="J62" s="75"/>
      <c r="K62" s="75"/>
    </row>
    <row r="63" spans="2:11" ht="12.75" customHeight="1">
      <c r="B63" s="16" t="s">
        <v>117</v>
      </c>
      <c r="C63" s="294" t="s">
        <v>2</v>
      </c>
      <c r="D63" s="294"/>
      <c r="E63" s="295"/>
      <c r="F63" s="296" t="s">
        <v>3</v>
      </c>
      <c r="G63" s="297"/>
      <c r="H63" s="298"/>
      <c r="I63" s="299" t="s">
        <v>4</v>
      </c>
      <c r="J63" s="300"/>
      <c r="K63" s="300"/>
    </row>
    <row r="64" spans="2:11" ht="12.75" customHeight="1">
      <c r="B64" s="83"/>
      <c r="C64" s="132" t="s">
        <v>5</v>
      </c>
      <c r="D64" s="133" t="s">
        <v>6</v>
      </c>
      <c r="E64" s="137" t="s">
        <v>7</v>
      </c>
      <c r="F64" s="134" t="s">
        <v>5</v>
      </c>
      <c r="G64" s="135" t="s">
        <v>6</v>
      </c>
      <c r="H64" s="138" t="s">
        <v>8</v>
      </c>
      <c r="I64" s="136" t="s">
        <v>5</v>
      </c>
      <c r="J64" s="136" t="s">
        <v>6</v>
      </c>
      <c r="K64" s="139" t="s">
        <v>8</v>
      </c>
    </row>
    <row r="65" spans="2:11" ht="12.75" customHeight="1">
      <c r="B65" s="37" t="s">
        <v>9</v>
      </c>
      <c r="C65" s="96">
        <f>I80</f>
        <v>16687</v>
      </c>
      <c r="D65" s="97">
        <f>J80</f>
        <v>504</v>
      </c>
      <c r="E65" s="40">
        <f>C65/D65</f>
        <v>33.109126984126981</v>
      </c>
      <c r="F65" s="103">
        <f>462+133+93+86</f>
        <v>774</v>
      </c>
      <c r="G65" s="104">
        <f>65+13+13+7</f>
        <v>98</v>
      </c>
      <c r="H65" s="41">
        <f t="shared" ref="H65:H70" si="27">F65/G65</f>
        <v>7.8979591836734695</v>
      </c>
      <c r="I65" s="119">
        <f t="shared" ref="I65:I70" si="28">C65+F65</f>
        <v>17461</v>
      </c>
      <c r="J65" s="119">
        <f>D65+G65</f>
        <v>602</v>
      </c>
      <c r="K65" s="43">
        <f>I65/J65</f>
        <v>29.004983388704318</v>
      </c>
    </row>
    <row r="66" spans="2:11" ht="12.75" customHeight="1">
      <c r="B66" s="45" t="s">
        <v>10</v>
      </c>
      <c r="C66" s="96">
        <f t="shared" ref="C66:C70" si="29">I81</f>
        <v>12948</v>
      </c>
      <c r="D66" s="97">
        <f t="shared" ref="D66:D70" si="30">J81</f>
        <v>298</v>
      </c>
      <c r="E66" s="48">
        <f t="shared" ref="E66:E70" si="31">C66/D66</f>
        <v>43.449664429530202</v>
      </c>
      <c r="F66" s="105">
        <f>1049+26</f>
        <v>1075</v>
      </c>
      <c r="G66" s="106">
        <f>51+8</f>
        <v>59</v>
      </c>
      <c r="H66" s="49">
        <f t="shared" si="27"/>
        <v>18.220338983050848</v>
      </c>
      <c r="I66" s="120">
        <f t="shared" si="28"/>
        <v>14023</v>
      </c>
      <c r="J66" s="120">
        <f t="shared" ref="J66:J70" si="32">D66+G66</f>
        <v>357</v>
      </c>
      <c r="K66" s="51">
        <f t="shared" ref="K66:K70" si="33">I66/J66</f>
        <v>39.280112044817926</v>
      </c>
    </row>
    <row r="67" spans="2:11" ht="12.75" customHeight="1">
      <c r="B67" s="45" t="s">
        <v>11</v>
      </c>
      <c r="C67" s="96">
        <f t="shared" si="29"/>
        <v>8830</v>
      </c>
      <c r="D67" s="97">
        <f t="shared" si="30"/>
        <v>286</v>
      </c>
      <c r="E67" s="48">
        <f t="shared" si="31"/>
        <v>30.874125874125873</v>
      </c>
      <c r="F67" s="105">
        <f>614+87</f>
        <v>701</v>
      </c>
      <c r="G67" s="106">
        <f>68+9</f>
        <v>77</v>
      </c>
      <c r="H67" s="49">
        <f t="shared" si="27"/>
        <v>9.103896103896103</v>
      </c>
      <c r="I67" s="120">
        <f t="shared" si="28"/>
        <v>9531</v>
      </c>
      <c r="J67" s="120">
        <f t="shared" si="32"/>
        <v>363</v>
      </c>
      <c r="K67" s="51">
        <f t="shared" si="33"/>
        <v>26.256198347107439</v>
      </c>
    </row>
    <row r="68" spans="2:11" ht="12.75" customHeight="1">
      <c r="B68" s="45" t="s">
        <v>12</v>
      </c>
      <c r="C68" s="96">
        <f t="shared" si="29"/>
        <v>21672</v>
      </c>
      <c r="D68" s="97">
        <f t="shared" si="30"/>
        <v>637</v>
      </c>
      <c r="E68" s="48">
        <f t="shared" si="31"/>
        <v>34.021978021978022</v>
      </c>
      <c r="F68" s="105">
        <f>1441+283</f>
        <v>1724</v>
      </c>
      <c r="G68" s="106">
        <f>130+23</f>
        <v>153</v>
      </c>
      <c r="H68" s="49">
        <f t="shared" si="27"/>
        <v>11.267973856209151</v>
      </c>
      <c r="I68" s="120">
        <f t="shared" si="28"/>
        <v>23396</v>
      </c>
      <c r="J68" s="120">
        <f t="shared" si="32"/>
        <v>790</v>
      </c>
      <c r="K68" s="51">
        <f t="shared" si="33"/>
        <v>29.615189873417723</v>
      </c>
    </row>
    <row r="69" spans="2:11" ht="12.75" customHeight="1">
      <c r="B69" s="45" t="s">
        <v>21</v>
      </c>
      <c r="C69" s="96">
        <f t="shared" si="29"/>
        <v>15325</v>
      </c>
      <c r="D69" s="97">
        <f t="shared" si="30"/>
        <v>443</v>
      </c>
      <c r="E69" s="48">
        <f t="shared" si="31"/>
        <v>34.593679458239279</v>
      </c>
      <c r="F69" s="105">
        <f>687+105+80+14</f>
        <v>886</v>
      </c>
      <c r="G69" s="106">
        <f>84+15+9+1</f>
        <v>109</v>
      </c>
      <c r="H69" s="49">
        <f t="shared" si="27"/>
        <v>8.1284403669724767</v>
      </c>
      <c r="I69" s="120">
        <f t="shared" si="28"/>
        <v>16211</v>
      </c>
      <c r="J69" s="120">
        <f t="shared" si="32"/>
        <v>552</v>
      </c>
      <c r="K69" s="51">
        <f t="shared" si="33"/>
        <v>29.367753623188406</v>
      </c>
    </row>
    <row r="70" spans="2:11" ht="12.75" customHeight="1">
      <c r="B70" s="45" t="s">
        <v>13</v>
      </c>
      <c r="C70" s="96">
        <f t="shared" si="29"/>
        <v>73720</v>
      </c>
      <c r="D70" s="97">
        <f t="shared" si="30"/>
        <v>1961</v>
      </c>
      <c r="E70" s="48">
        <f t="shared" si="31"/>
        <v>37.593064762876082</v>
      </c>
      <c r="F70" s="105">
        <f>1892+408+133+167</f>
        <v>2600</v>
      </c>
      <c r="G70" s="106">
        <f>119+26+11+16</f>
        <v>172</v>
      </c>
      <c r="H70" s="49">
        <f t="shared" si="27"/>
        <v>15.116279069767442</v>
      </c>
      <c r="I70" s="120">
        <f t="shared" si="28"/>
        <v>76320</v>
      </c>
      <c r="J70" s="120">
        <f t="shared" si="32"/>
        <v>2133</v>
      </c>
      <c r="K70" s="51">
        <f t="shared" si="33"/>
        <v>35.780590717299575</v>
      </c>
    </row>
    <row r="71" spans="2:11" ht="12.75" customHeight="1">
      <c r="B71" s="53"/>
      <c r="C71" s="100"/>
      <c r="D71" s="101"/>
      <c r="E71" s="56"/>
      <c r="F71" s="107"/>
      <c r="G71" s="108"/>
      <c r="H71" s="57"/>
      <c r="I71" s="121"/>
      <c r="J71" s="121"/>
      <c r="K71" s="59"/>
    </row>
    <row r="72" spans="2:11" ht="12.75" customHeight="1">
      <c r="B72" s="124" t="s">
        <v>81</v>
      </c>
      <c r="C72" s="125">
        <f>I87</f>
        <v>164377</v>
      </c>
      <c r="D72" s="125">
        <f>J87</f>
        <v>4441</v>
      </c>
      <c r="E72" s="127">
        <f>C72/D72</f>
        <v>37.013510470614726</v>
      </c>
      <c r="F72" s="125">
        <f>6774+1426</f>
        <v>8200</v>
      </c>
      <c r="G72" s="125">
        <f>577+129</f>
        <v>706</v>
      </c>
      <c r="H72" s="128">
        <f>F72/G72</f>
        <v>11.614730878186968</v>
      </c>
      <c r="I72" s="129">
        <f>C72+F72</f>
        <v>172577</v>
      </c>
      <c r="J72" s="129">
        <f>D72+G72</f>
        <v>5147</v>
      </c>
      <c r="K72" s="130">
        <f>I72/J72</f>
        <v>33.529628910044686</v>
      </c>
    </row>
    <row r="73" spans="2:11" ht="12.75" customHeight="1">
      <c r="B73" s="182" t="s">
        <v>78</v>
      </c>
      <c r="C73" s="185"/>
      <c r="D73" s="125"/>
      <c r="E73" s="127"/>
      <c r="F73" s="125"/>
      <c r="G73" s="125"/>
      <c r="H73" s="128"/>
      <c r="I73" s="129"/>
      <c r="J73" s="129"/>
      <c r="K73" s="130"/>
    </row>
    <row r="74" spans="2:11" ht="12.75" customHeight="1">
      <c r="B74" s="124" t="s">
        <v>79</v>
      </c>
      <c r="C74" s="125">
        <f>SUM(C65:C70)</f>
        <v>149182</v>
      </c>
      <c r="D74" s="125">
        <f>SUM(D65:D70)</f>
        <v>4129</v>
      </c>
      <c r="E74" s="127"/>
      <c r="F74" s="125">
        <f>SUM(F65:F70)</f>
        <v>7760</v>
      </c>
      <c r="G74" s="125">
        <f>SUM(G65:G70)</f>
        <v>668</v>
      </c>
      <c r="H74" s="128"/>
      <c r="I74" s="129">
        <f>C74+F74</f>
        <v>156942</v>
      </c>
      <c r="J74" s="129">
        <f>D74+G74</f>
        <v>4797</v>
      </c>
      <c r="K74" s="130"/>
    </row>
    <row r="75" spans="2:11" ht="12.75" customHeight="1">
      <c r="B75" s="186" t="s">
        <v>80</v>
      </c>
      <c r="C75" s="102"/>
      <c r="D75" s="102"/>
      <c r="F75" s="109"/>
      <c r="G75" s="109"/>
      <c r="I75" s="180"/>
      <c r="J75" s="180"/>
    </row>
    <row r="76" spans="2:11" ht="5.45" customHeight="1">
      <c r="B76" s="187"/>
      <c r="C76" s="188"/>
      <c r="D76" s="188"/>
      <c r="E76" s="187"/>
      <c r="F76" s="189"/>
      <c r="G76" s="189"/>
      <c r="H76" s="187"/>
      <c r="I76" s="189"/>
      <c r="J76" s="189"/>
      <c r="K76" s="187"/>
    </row>
    <row r="77" spans="2:11" ht="5.45" customHeight="1">
      <c r="C77" s="102"/>
      <c r="D77" s="102"/>
      <c r="F77" s="109"/>
      <c r="G77" s="109"/>
      <c r="I77" s="109"/>
      <c r="J77" s="109"/>
    </row>
    <row r="78" spans="2:11" ht="12.75" customHeight="1">
      <c r="B78" s="16" t="s">
        <v>117</v>
      </c>
      <c r="C78" s="294" t="s">
        <v>75</v>
      </c>
      <c r="D78" s="294"/>
      <c r="E78" s="295"/>
      <c r="F78" s="301" t="s">
        <v>76</v>
      </c>
      <c r="G78" s="294"/>
      <c r="H78" s="295"/>
      <c r="I78" s="302" t="s">
        <v>77</v>
      </c>
      <c r="J78" s="303"/>
      <c r="K78" s="303"/>
    </row>
    <row r="79" spans="2:11" ht="12.75" customHeight="1">
      <c r="B79" s="83"/>
      <c r="C79" s="132" t="s">
        <v>5</v>
      </c>
      <c r="D79" s="133" t="s">
        <v>6</v>
      </c>
      <c r="E79" s="137" t="s">
        <v>7</v>
      </c>
      <c r="F79" s="134" t="s">
        <v>5</v>
      </c>
      <c r="G79" s="135" t="s">
        <v>6</v>
      </c>
      <c r="H79" s="138" t="s">
        <v>8</v>
      </c>
      <c r="I79" s="136" t="s">
        <v>5</v>
      </c>
      <c r="J79" s="136" t="s">
        <v>6</v>
      </c>
      <c r="K79" s="139" t="s">
        <v>8</v>
      </c>
    </row>
    <row r="80" spans="2:11" ht="12.75" customHeight="1">
      <c r="B80" s="157" t="s">
        <v>9</v>
      </c>
      <c r="C80" s="96">
        <f>7341+1190</f>
        <v>8531</v>
      </c>
      <c r="D80" s="97">
        <f>173+21</f>
        <v>194</v>
      </c>
      <c r="E80" s="158">
        <f t="shared" ref="E80:E85" si="34">C80/D80</f>
        <v>43.97422680412371</v>
      </c>
      <c r="F80" s="96">
        <f>7330+826</f>
        <v>8156</v>
      </c>
      <c r="G80" s="97">
        <f>284+26</f>
        <v>310</v>
      </c>
      <c r="H80" s="159">
        <f t="shared" ref="H80:H85" si="35">F80/G80</f>
        <v>26.309677419354838</v>
      </c>
      <c r="I80" s="160">
        <f t="shared" ref="I80:I85" si="36">C80+F80</f>
        <v>16687</v>
      </c>
      <c r="J80" s="160">
        <f t="shared" ref="J80:J85" si="37">D80+G80</f>
        <v>504</v>
      </c>
      <c r="K80" s="161">
        <f t="shared" ref="K80:K85" si="38">I80/J80</f>
        <v>33.109126984126981</v>
      </c>
    </row>
    <row r="81" spans="2:11" ht="12.75" customHeight="1">
      <c r="B81" s="162" t="s">
        <v>10</v>
      </c>
      <c r="C81" s="98">
        <v>3603</v>
      </c>
      <c r="D81" s="99">
        <v>52</v>
      </c>
      <c r="E81" s="163">
        <f t="shared" si="34"/>
        <v>69.288461538461533</v>
      </c>
      <c r="F81" s="98">
        <v>9345</v>
      </c>
      <c r="G81" s="99">
        <v>246</v>
      </c>
      <c r="H81" s="164">
        <f t="shared" si="35"/>
        <v>37.987804878048777</v>
      </c>
      <c r="I81" s="165">
        <f t="shared" si="36"/>
        <v>12948</v>
      </c>
      <c r="J81" s="165">
        <f t="shared" si="37"/>
        <v>298</v>
      </c>
      <c r="K81" s="166">
        <f t="shared" si="38"/>
        <v>43.449664429530202</v>
      </c>
    </row>
    <row r="82" spans="2:11" ht="12.75" customHeight="1">
      <c r="B82" s="162" t="s">
        <v>11</v>
      </c>
      <c r="C82" s="98">
        <v>5329</v>
      </c>
      <c r="D82" s="99">
        <v>146</v>
      </c>
      <c r="E82" s="163">
        <f t="shared" si="34"/>
        <v>36.5</v>
      </c>
      <c r="F82" s="98">
        <v>3501</v>
      </c>
      <c r="G82" s="99">
        <v>140</v>
      </c>
      <c r="H82" s="164">
        <f t="shared" si="35"/>
        <v>25.007142857142856</v>
      </c>
      <c r="I82" s="165">
        <f t="shared" si="36"/>
        <v>8830</v>
      </c>
      <c r="J82" s="165">
        <f t="shared" si="37"/>
        <v>286</v>
      </c>
      <c r="K82" s="166">
        <f t="shared" si="38"/>
        <v>30.874125874125873</v>
      </c>
    </row>
    <row r="83" spans="2:11" ht="12.75" customHeight="1">
      <c r="B83" s="162" t="s">
        <v>12</v>
      </c>
      <c r="C83" s="98">
        <v>10166</v>
      </c>
      <c r="D83" s="99">
        <v>266</v>
      </c>
      <c r="E83" s="163">
        <f t="shared" si="34"/>
        <v>38.218045112781958</v>
      </c>
      <c r="F83" s="98">
        <v>11506</v>
      </c>
      <c r="G83" s="99">
        <v>371</v>
      </c>
      <c r="H83" s="164">
        <f t="shared" si="35"/>
        <v>31.013477088948786</v>
      </c>
      <c r="I83" s="165">
        <f t="shared" si="36"/>
        <v>21672</v>
      </c>
      <c r="J83" s="165">
        <f t="shared" si="37"/>
        <v>637</v>
      </c>
      <c r="K83" s="166">
        <f t="shared" si="38"/>
        <v>34.021978021978022</v>
      </c>
    </row>
    <row r="84" spans="2:11" ht="12.75" customHeight="1">
      <c r="B84" s="162" t="s">
        <v>21</v>
      </c>
      <c r="C84" s="98">
        <f>7886+670</f>
        <v>8556</v>
      </c>
      <c r="D84" s="99">
        <f>200+10</f>
        <v>210</v>
      </c>
      <c r="E84" s="163">
        <f t="shared" si="34"/>
        <v>40.74285714285714</v>
      </c>
      <c r="F84" s="98">
        <f>6204+565</f>
        <v>6769</v>
      </c>
      <c r="G84" s="99">
        <f>214+19</f>
        <v>233</v>
      </c>
      <c r="H84" s="164">
        <f t="shared" si="35"/>
        <v>29.051502145922747</v>
      </c>
      <c r="I84" s="165">
        <f t="shared" si="36"/>
        <v>15325</v>
      </c>
      <c r="J84" s="165">
        <f t="shared" si="37"/>
        <v>443</v>
      </c>
      <c r="K84" s="166">
        <f t="shared" si="38"/>
        <v>34.593679458239279</v>
      </c>
    </row>
    <row r="85" spans="2:11" ht="12.75" customHeight="1">
      <c r="B85" s="162" t="s">
        <v>13</v>
      </c>
      <c r="C85" s="98">
        <f>337+52242+3966</f>
        <v>56545</v>
      </c>
      <c r="D85" s="99">
        <f>11+1287+32</f>
        <v>1330</v>
      </c>
      <c r="E85" s="163">
        <f t="shared" si="34"/>
        <v>42.515037593984964</v>
      </c>
      <c r="F85" s="98">
        <f>15961+1214</f>
        <v>17175</v>
      </c>
      <c r="G85" s="99">
        <f>595+36</f>
        <v>631</v>
      </c>
      <c r="H85" s="164">
        <f t="shared" si="35"/>
        <v>27.218700475435817</v>
      </c>
      <c r="I85" s="165">
        <f t="shared" si="36"/>
        <v>73720</v>
      </c>
      <c r="J85" s="165">
        <f t="shared" si="37"/>
        <v>1961</v>
      </c>
      <c r="K85" s="166">
        <f t="shared" si="38"/>
        <v>37.593064762876082</v>
      </c>
    </row>
    <row r="86" spans="2:11" ht="12.75" customHeight="1">
      <c r="B86" s="167"/>
      <c r="C86" s="100"/>
      <c r="D86" s="101"/>
      <c r="E86" s="168"/>
      <c r="F86" s="100"/>
      <c r="G86" s="101"/>
      <c r="H86" s="169"/>
      <c r="I86" s="155"/>
      <c r="J86" s="155"/>
      <c r="K86" s="170"/>
    </row>
    <row r="87" spans="2:11" ht="12.75" customHeight="1">
      <c r="B87" s="124" t="s">
        <v>81</v>
      </c>
      <c r="C87" s="154">
        <f>104732+337</f>
        <v>105069</v>
      </c>
      <c r="D87" s="125">
        <v>2418</v>
      </c>
      <c r="E87" s="127">
        <f>C87/D87</f>
        <v>43.45285359801489</v>
      </c>
      <c r="F87" s="125">
        <v>59308</v>
      </c>
      <c r="G87" s="125">
        <v>2023</v>
      </c>
      <c r="H87" s="128">
        <f t="shared" ref="H87" si="39">F87/G87</f>
        <v>29.316856154226397</v>
      </c>
      <c r="I87" s="129">
        <f t="shared" ref="I87" si="40">C87+F87</f>
        <v>164377</v>
      </c>
      <c r="J87" s="129">
        <f>D87+G87</f>
        <v>4441</v>
      </c>
      <c r="K87" s="130">
        <f t="shared" ref="K87" si="41">I87/J87</f>
        <v>37.013510470614726</v>
      </c>
    </row>
    <row r="88" spans="2:11" ht="12.75" customHeight="1">
      <c r="B88" s="182" t="s">
        <v>78</v>
      </c>
      <c r="C88" s="98"/>
      <c r="D88" s="98"/>
      <c r="E88" s="163"/>
      <c r="F88" s="98"/>
      <c r="G88" s="98"/>
      <c r="H88" s="164"/>
      <c r="I88" s="165"/>
      <c r="J88" s="165"/>
      <c r="K88" s="166"/>
    </row>
    <row r="89" spans="2:11" ht="12.75" customHeight="1">
      <c r="B89" s="124" t="s">
        <v>79</v>
      </c>
      <c r="C89" s="154">
        <f>SUM(C80:C85)</f>
        <v>92730</v>
      </c>
      <c r="D89" s="125">
        <f>SUM(D80:D85)</f>
        <v>2198</v>
      </c>
      <c r="E89" s="127"/>
      <c r="F89" s="125">
        <f>SUM(F80:F85)</f>
        <v>56452</v>
      </c>
      <c r="G89" s="125">
        <f>SUM(G80:G85)</f>
        <v>1931</v>
      </c>
      <c r="H89" s="128"/>
      <c r="I89" s="129">
        <f>C89+F89</f>
        <v>149182</v>
      </c>
      <c r="J89" s="129">
        <f>D89+G89</f>
        <v>4129</v>
      </c>
      <c r="K89" s="130"/>
    </row>
    <row r="90" spans="2:11" ht="12.75" customHeight="1">
      <c r="B90" s="190" t="s">
        <v>80</v>
      </c>
      <c r="C90" s="100"/>
      <c r="D90" s="100"/>
      <c r="F90" s="100"/>
      <c r="G90" s="100"/>
      <c r="I90" s="155"/>
      <c r="J90" s="155"/>
      <c r="K90" s="156"/>
    </row>
    <row r="91" spans="2:11" ht="12.75" customHeight="1">
      <c r="B91" s="191"/>
      <c r="C91" s="102"/>
      <c r="D91" s="102"/>
      <c r="F91" s="102"/>
      <c r="G91" s="102"/>
      <c r="I91" s="102"/>
      <c r="J91" s="102"/>
    </row>
    <row r="92" spans="2:11" ht="12.75" customHeight="1">
      <c r="B92" s="191"/>
      <c r="C92" s="102"/>
      <c r="D92" s="102"/>
      <c r="F92" s="102"/>
      <c r="G92" s="102"/>
      <c r="I92" s="102"/>
      <c r="J92" s="102"/>
    </row>
    <row r="93" spans="2:11" ht="12.75" customHeight="1">
      <c r="B93" s="75"/>
      <c r="C93" s="75"/>
      <c r="D93" s="75"/>
      <c r="E93" s="75"/>
      <c r="F93" s="75"/>
      <c r="G93" s="75"/>
      <c r="H93" s="75"/>
      <c r="I93" s="75"/>
      <c r="J93" s="75"/>
      <c r="K93" s="75"/>
    </row>
    <row r="94" spans="2:11" ht="12.75" customHeight="1">
      <c r="B94" s="16" t="s">
        <v>116</v>
      </c>
      <c r="C94" s="294" t="s">
        <v>2</v>
      </c>
      <c r="D94" s="294"/>
      <c r="E94" s="295"/>
      <c r="F94" s="296" t="s">
        <v>3</v>
      </c>
      <c r="G94" s="297"/>
      <c r="H94" s="298"/>
      <c r="I94" s="299" t="s">
        <v>4</v>
      </c>
      <c r="J94" s="300"/>
      <c r="K94" s="300"/>
    </row>
    <row r="95" spans="2:11" ht="12.75" customHeight="1">
      <c r="B95" s="83"/>
      <c r="C95" s="132" t="s">
        <v>5</v>
      </c>
      <c r="D95" s="133" t="s">
        <v>6</v>
      </c>
      <c r="E95" s="137" t="s">
        <v>7</v>
      </c>
      <c r="F95" s="134" t="s">
        <v>5</v>
      </c>
      <c r="G95" s="135" t="s">
        <v>6</v>
      </c>
      <c r="H95" s="138" t="s">
        <v>8</v>
      </c>
      <c r="I95" s="136" t="s">
        <v>5</v>
      </c>
      <c r="J95" s="136" t="s">
        <v>6</v>
      </c>
      <c r="K95" s="139" t="s">
        <v>8</v>
      </c>
    </row>
    <row r="96" spans="2:11" ht="12.75" customHeight="1">
      <c r="B96" s="37" t="s">
        <v>9</v>
      </c>
      <c r="C96" s="96">
        <f>15543+1986</f>
        <v>17529</v>
      </c>
      <c r="D96" s="97">
        <f>495+46</f>
        <v>541</v>
      </c>
      <c r="E96" s="40">
        <f>C96/D96</f>
        <v>32.401109057301291</v>
      </c>
      <c r="F96" s="103">
        <f>570+186</f>
        <v>756</v>
      </c>
      <c r="G96" s="104">
        <v>101</v>
      </c>
      <c r="H96" s="41">
        <f t="shared" ref="H96:H101" si="42">F96/G96</f>
        <v>7.4851485148514856</v>
      </c>
      <c r="I96" s="119">
        <f t="shared" ref="I96:I101" si="43">C96+F96</f>
        <v>18285</v>
      </c>
      <c r="J96" s="119">
        <f>D96+G96</f>
        <v>642</v>
      </c>
      <c r="K96" s="43">
        <f>I96/J96</f>
        <v>28.481308411214954</v>
      </c>
    </row>
    <row r="97" spans="2:11" ht="12.75" customHeight="1">
      <c r="B97" s="45" t="s">
        <v>10</v>
      </c>
      <c r="C97" s="98">
        <v>13704</v>
      </c>
      <c r="D97" s="99">
        <v>279</v>
      </c>
      <c r="E97" s="48">
        <f t="shared" ref="E97:E101" si="44">C97/D97</f>
        <v>49.118279569892472</v>
      </c>
      <c r="F97" s="105">
        <v>1086</v>
      </c>
      <c r="G97" s="106">
        <v>61</v>
      </c>
      <c r="H97" s="49">
        <f t="shared" si="42"/>
        <v>17.803278688524589</v>
      </c>
      <c r="I97" s="120">
        <f t="shared" si="43"/>
        <v>14790</v>
      </c>
      <c r="J97" s="120">
        <f t="shared" ref="J97:J101" si="45">D97+G97</f>
        <v>340</v>
      </c>
      <c r="K97" s="51">
        <f t="shared" ref="K97:K101" si="46">I97/J97</f>
        <v>43.5</v>
      </c>
    </row>
    <row r="98" spans="2:11" ht="12.75" customHeight="1">
      <c r="B98" s="45" t="s">
        <v>11</v>
      </c>
      <c r="C98" s="98">
        <v>8426</v>
      </c>
      <c r="D98" s="99">
        <v>285</v>
      </c>
      <c r="E98" s="48">
        <f t="shared" si="44"/>
        <v>29.564912280701755</v>
      </c>
      <c r="F98" s="105">
        <v>746</v>
      </c>
      <c r="G98" s="106">
        <v>81</v>
      </c>
      <c r="H98" s="49">
        <f t="shared" si="42"/>
        <v>9.2098765432098766</v>
      </c>
      <c r="I98" s="120">
        <f t="shared" si="43"/>
        <v>9172</v>
      </c>
      <c r="J98" s="120">
        <f t="shared" si="45"/>
        <v>366</v>
      </c>
      <c r="K98" s="51">
        <f t="shared" si="46"/>
        <v>25.060109289617486</v>
      </c>
    </row>
    <row r="99" spans="2:11" ht="12.75" customHeight="1">
      <c r="B99" s="45" t="s">
        <v>12</v>
      </c>
      <c r="C99" s="98">
        <v>23535</v>
      </c>
      <c r="D99" s="99">
        <v>668</v>
      </c>
      <c r="E99" s="48">
        <f t="shared" si="44"/>
        <v>35.232035928143709</v>
      </c>
      <c r="F99" s="105">
        <v>1797</v>
      </c>
      <c r="G99" s="106">
        <v>156</v>
      </c>
      <c r="H99" s="49">
        <f t="shared" si="42"/>
        <v>11.51923076923077</v>
      </c>
      <c r="I99" s="120">
        <f t="shared" si="43"/>
        <v>25332</v>
      </c>
      <c r="J99" s="120">
        <f t="shared" si="45"/>
        <v>824</v>
      </c>
      <c r="K99" s="51">
        <f t="shared" si="46"/>
        <v>30.742718446601941</v>
      </c>
    </row>
    <row r="100" spans="2:11" ht="12.75" customHeight="1">
      <c r="B100" s="45" t="s">
        <v>21</v>
      </c>
      <c r="C100" s="98">
        <f>14352+1377</f>
        <v>15729</v>
      </c>
      <c r="D100" s="99">
        <f>419+32</f>
        <v>451</v>
      </c>
      <c r="E100" s="48">
        <f t="shared" si="44"/>
        <v>34.875831485587582</v>
      </c>
      <c r="F100" s="105">
        <f>849+109</f>
        <v>958</v>
      </c>
      <c r="G100" s="106">
        <v>117</v>
      </c>
      <c r="H100" s="49">
        <f t="shared" si="42"/>
        <v>8.1880341880341874</v>
      </c>
      <c r="I100" s="120">
        <f t="shared" si="43"/>
        <v>16687</v>
      </c>
      <c r="J100" s="120">
        <f t="shared" si="45"/>
        <v>568</v>
      </c>
      <c r="K100" s="51">
        <f t="shared" si="46"/>
        <v>29.378521126760564</v>
      </c>
    </row>
    <row r="101" spans="2:11" ht="12.75" customHeight="1">
      <c r="B101" s="45" t="s">
        <v>13</v>
      </c>
      <c r="C101" s="98">
        <f>337+67650+5188</f>
        <v>73175</v>
      </c>
      <c r="D101" s="99">
        <f>29+1903+64</f>
        <v>1996</v>
      </c>
      <c r="E101" s="48">
        <f t="shared" si="44"/>
        <v>36.660821643286575</v>
      </c>
      <c r="F101" s="105">
        <f>2335+416</f>
        <v>2751</v>
      </c>
      <c r="G101" s="106">
        <f>164+32</f>
        <v>196</v>
      </c>
      <c r="H101" s="49">
        <f t="shared" si="42"/>
        <v>14.035714285714286</v>
      </c>
      <c r="I101" s="120">
        <f t="shared" si="43"/>
        <v>75926</v>
      </c>
      <c r="J101" s="120">
        <f t="shared" si="45"/>
        <v>2192</v>
      </c>
      <c r="K101" s="51">
        <f t="shared" si="46"/>
        <v>34.637773722627735</v>
      </c>
    </row>
    <row r="102" spans="2:11" ht="12.75" customHeight="1">
      <c r="B102" s="53"/>
      <c r="C102" s="100"/>
      <c r="D102" s="101"/>
      <c r="E102" s="56"/>
      <c r="F102" s="107"/>
      <c r="G102" s="108"/>
      <c r="H102" s="57"/>
      <c r="I102" s="121"/>
      <c r="J102" s="121"/>
      <c r="K102" s="59"/>
    </row>
    <row r="103" spans="2:11" ht="12.75" customHeight="1">
      <c r="B103" s="124" t="s">
        <v>81</v>
      </c>
      <c r="C103" s="125">
        <f>166479+337</f>
        <v>166816</v>
      </c>
      <c r="D103" s="125">
        <v>4529</v>
      </c>
      <c r="E103" s="127">
        <f>C103/D103</f>
        <v>36.832854934864208</v>
      </c>
      <c r="F103" s="125">
        <v>8591</v>
      </c>
      <c r="G103" s="125">
        <v>755</v>
      </c>
      <c r="H103" s="128">
        <f>F103/G103</f>
        <v>11.378807947019867</v>
      </c>
      <c r="I103" s="129">
        <f>C103+F103</f>
        <v>175407</v>
      </c>
      <c r="J103" s="129">
        <f>D103+G103</f>
        <v>5284</v>
      </c>
      <c r="K103" s="130">
        <f>I103/J103</f>
        <v>33.19587433762301</v>
      </c>
    </row>
    <row r="104" spans="2:11" ht="12.75" customHeight="1">
      <c r="B104" s="182" t="s">
        <v>78</v>
      </c>
      <c r="C104" s="185"/>
      <c r="D104" s="125"/>
      <c r="E104" s="127"/>
      <c r="F104" s="125"/>
      <c r="G104" s="125"/>
      <c r="H104" s="128"/>
      <c r="I104" s="129"/>
      <c r="J104" s="129"/>
      <c r="K104" s="130"/>
    </row>
    <row r="105" spans="2:11" ht="12.75" customHeight="1">
      <c r="B105" s="124" t="s">
        <v>79</v>
      </c>
      <c r="C105" s="125">
        <f>SUM(C96:C101)</f>
        <v>152098</v>
      </c>
      <c r="D105" s="125">
        <f>SUM(D96:D101)</f>
        <v>4220</v>
      </c>
      <c r="E105" s="127"/>
      <c r="F105" s="125">
        <f>SUM(F96:F101)</f>
        <v>8094</v>
      </c>
      <c r="G105" s="125">
        <f>SUM(G96:G101)</f>
        <v>712</v>
      </c>
      <c r="H105" s="128"/>
      <c r="I105" s="129">
        <f>C105+F105</f>
        <v>160192</v>
      </c>
      <c r="J105" s="129">
        <f>D105+G105</f>
        <v>4932</v>
      </c>
      <c r="K105" s="130"/>
    </row>
    <row r="106" spans="2:11" ht="12.75" customHeight="1">
      <c r="B106" s="186" t="s">
        <v>80</v>
      </c>
      <c r="C106" s="102"/>
      <c r="D106" s="102"/>
      <c r="F106" s="109"/>
      <c r="G106" s="109"/>
      <c r="I106" s="180"/>
      <c r="J106" s="180"/>
    </row>
    <row r="107" spans="2:11" ht="5.45" customHeight="1">
      <c r="B107" s="187"/>
      <c r="C107" s="188"/>
      <c r="D107" s="188"/>
      <c r="E107" s="187"/>
      <c r="F107" s="189"/>
      <c r="G107" s="189"/>
      <c r="H107" s="187"/>
      <c r="I107" s="189"/>
      <c r="J107" s="189"/>
      <c r="K107" s="187"/>
    </row>
    <row r="108" spans="2:11" ht="5.45" customHeight="1">
      <c r="C108" s="102"/>
      <c r="D108" s="102"/>
      <c r="F108" s="109"/>
      <c r="G108" s="109"/>
      <c r="I108" s="109"/>
      <c r="J108" s="109"/>
    </row>
    <row r="109" spans="2:11" ht="12.75" customHeight="1">
      <c r="B109" s="16" t="s">
        <v>116</v>
      </c>
      <c r="C109" s="294" t="s">
        <v>75</v>
      </c>
      <c r="D109" s="294"/>
      <c r="E109" s="295"/>
      <c r="F109" s="301" t="s">
        <v>76</v>
      </c>
      <c r="G109" s="294"/>
      <c r="H109" s="295"/>
      <c r="I109" s="302" t="s">
        <v>77</v>
      </c>
      <c r="J109" s="303"/>
      <c r="K109" s="303"/>
    </row>
    <row r="110" spans="2:11" ht="12.75" customHeight="1">
      <c r="B110" s="83"/>
      <c r="C110" s="132" t="s">
        <v>5</v>
      </c>
      <c r="D110" s="133" t="s">
        <v>6</v>
      </c>
      <c r="E110" s="137" t="s">
        <v>7</v>
      </c>
      <c r="F110" s="134" t="s">
        <v>5</v>
      </c>
      <c r="G110" s="135" t="s">
        <v>6</v>
      </c>
      <c r="H110" s="138" t="s">
        <v>8</v>
      </c>
      <c r="I110" s="136" t="s">
        <v>5</v>
      </c>
      <c r="J110" s="136" t="s">
        <v>6</v>
      </c>
      <c r="K110" s="139" t="s">
        <v>8</v>
      </c>
    </row>
    <row r="111" spans="2:11" ht="12.75" customHeight="1">
      <c r="B111" s="157" t="s">
        <v>9</v>
      </c>
      <c r="C111" s="96">
        <f>7679+1184</f>
        <v>8863</v>
      </c>
      <c r="D111" s="97">
        <v>211</v>
      </c>
      <c r="E111" s="158">
        <f t="shared" ref="E111:E116" si="47">C111/D111</f>
        <v>42.004739336492889</v>
      </c>
      <c r="F111" s="96">
        <f>7864+802</f>
        <v>8666</v>
      </c>
      <c r="G111" s="97">
        <v>330</v>
      </c>
      <c r="H111" s="159">
        <f t="shared" ref="H111:H116" si="48">F111/G111</f>
        <v>26.260606060606062</v>
      </c>
      <c r="I111" s="160">
        <f t="shared" ref="I111:I116" si="49">C111+F111</f>
        <v>17529</v>
      </c>
      <c r="J111" s="160">
        <f t="shared" ref="J111:J116" si="50">D111+G111</f>
        <v>541</v>
      </c>
      <c r="K111" s="161">
        <f t="shared" ref="K111:K116" si="51">I111/J111</f>
        <v>32.401109057301291</v>
      </c>
    </row>
    <row r="112" spans="2:11" ht="12.75" customHeight="1">
      <c r="B112" s="162" t="s">
        <v>10</v>
      </c>
      <c r="C112" s="98">
        <v>3919</v>
      </c>
      <c r="D112" s="99">
        <v>49</v>
      </c>
      <c r="E112" s="163">
        <f t="shared" si="47"/>
        <v>79.979591836734699</v>
      </c>
      <c r="F112" s="98">
        <v>9785</v>
      </c>
      <c r="G112" s="99">
        <v>230</v>
      </c>
      <c r="H112" s="164">
        <f t="shared" si="48"/>
        <v>42.543478260869563</v>
      </c>
      <c r="I112" s="165">
        <f t="shared" si="49"/>
        <v>13704</v>
      </c>
      <c r="J112" s="165">
        <f t="shared" si="50"/>
        <v>279</v>
      </c>
      <c r="K112" s="166">
        <f t="shared" si="51"/>
        <v>49.118279569892472</v>
      </c>
    </row>
    <row r="113" spans="2:11" ht="12.75" customHeight="1">
      <c r="B113" s="162" t="s">
        <v>11</v>
      </c>
      <c r="C113" s="98">
        <v>4953</v>
      </c>
      <c r="D113" s="99">
        <v>144</v>
      </c>
      <c r="E113" s="163">
        <f t="shared" si="47"/>
        <v>34.395833333333336</v>
      </c>
      <c r="F113" s="98">
        <v>3473</v>
      </c>
      <c r="G113" s="99">
        <v>141</v>
      </c>
      <c r="H113" s="164">
        <f t="shared" si="48"/>
        <v>24.631205673758867</v>
      </c>
      <c r="I113" s="165">
        <f t="shared" si="49"/>
        <v>8426</v>
      </c>
      <c r="J113" s="165">
        <f t="shared" si="50"/>
        <v>285</v>
      </c>
      <c r="K113" s="166">
        <f t="shared" si="51"/>
        <v>29.564912280701755</v>
      </c>
    </row>
    <row r="114" spans="2:11" ht="12.75" customHeight="1">
      <c r="B114" s="162" t="s">
        <v>12</v>
      </c>
      <c r="C114" s="98">
        <v>10213</v>
      </c>
      <c r="D114" s="99">
        <v>273</v>
      </c>
      <c r="E114" s="163">
        <f t="shared" si="47"/>
        <v>37.410256410256409</v>
      </c>
      <c r="F114" s="98">
        <v>13322</v>
      </c>
      <c r="G114" s="99">
        <v>395</v>
      </c>
      <c r="H114" s="164">
        <f t="shared" si="48"/>
        <v>33.726582278481011</v>
      </c>
      <c r="I114" s="165">
        <f t="shared" si="49"/>
        <v>23535</v>
      </c>
      <c r="J114" s="165">
        <f t="shared" si="50"/>
        <v>668</v>
      </c>
      <c r="K114" s="166">
        <f t="shared" si="51"/>
        <v>35.232035928143709</v>
      </c>
    </row>
    <row r="115" spans="2:11" ht="12.75" customHeight="1">
      <c r="B115" s="162" t="s">
        <v>21</v>
      </c>
      <c r="C115" s="98">
        <f>8082+757</f>
        <v>8839</v>
      </c>
      <c r="D115" s="99">
        <v>218</v>
      </c>
      <c r="E115" s="163">
        <f t="shared" si="47"/>
        <v>40.545871559633028</v>
      </c>
      <c r="F115" s="98">
        <f>6270+620</f>
        <v>6890</v>
      </c>
      <c r="G115" s="99">
        <v>233</v>
      </c>
      <c r="H115" s="164">
        <f t="shared" si="48"/>
        <v>29.570815450643778</v>
      </c>
      <c r="I115" s="165">
        <f t="shared" si="49"/>
        <v>15729</v>
      </c>
      <c r="J115" s="165">
        <f t="shared" si="50"/>
        <v>451</v>
      </c>
      <c r="K115" s="166">
        <f t="shared" si="51"/>
        <v>34.875831485587582</v>
      </c>
    </row>
    <row r="116" spans="2:11" ht="12.75" customHeight="1">
      <c r="B116" s="162" t="s">
        <v>13</v>
      </c>
      <c r="C116" s="98">
        <f>337+50869+3836</f>
        <v>55042</v>
      </c>
      <c r="D116" s="99">
        <f>29+1278+31</f>
        <v>1338</v>
      </c>
      <c r="E116" s="163">
        <f t="shared" si="47"/>
        <v>41.137518684603883</v>
      </c>
      <c r="F116" s="98">
        <f>16781+1352</f>
        <v>18133</v>
      </c>
      <c r="G116" s="99">
        <f>625+33</f>
        <v>658</v>
      </c>
      <c r="H116" s="164">
        <f t="shared" si="48"/>
        <v>27.55775075987842</v>
      </c>
      <c r="I116" s="165">
        <f t="shared" si="49"/>
        <v>73175</v>
      </c>
      <c r="J116" s="165">
        <f t="shared" si="50"/>
        <v>1996</v>
      </c>
      <c r="K116" s="166">
        <f t="shared" si="51"/>
        <v>36.660821643286575</v>
      </c>
    </row>
    <row r="117" spans="2:11" ht="12.75" customHeight="1">
      <c r="B117" s="167"/>
      <c r="C117" s="100"/>
      <c r="D117" s="101"/>
      <c r="E117" s="168"/>
      <c r="F117" s="100"/>
      <c r="G117" s="101"/>
      <c r="H117" s="169"/>
      <c r="I117" s="155"/>
      <c r="J117" s="155"/>
      <c r="K117" s="170"/>
    </row>
    <row r="118" spans="2:11" ht="12.75" customHeight="1">
      <c r="B118" s="124" t="s">
        <v>81</v>
      </c>
      <c r="C118" s="154">
        <f>103183+337</f>
        <v>103520</v>
      </c>
      <c r="D118" s="125">
        <f>2446</f>
        <v>2446</v>
      </c>
      <c r="E118" s="127">
        <f>C118/D118</f>
        <v>42.322158626328701</v>
      </c>
      <c r="F118" s="125">
        <v>63296</v>
      </c>
      <c r="G118" s="125">
        <v>2083</v>
      </c>
      <c r="H118" s="128">
        <f t="shared" ref="H118" si="52">F118/G118</f>
        <v>30.386941910705712</v>
      </c>
      <c r="I118" s="129">
        <f t="shared" ref="I118" si="53">C118+F118</f>
        <v>166816</v>
      </c>
      <c r="J118" s="129">
        <f>D118+G118</f>
        <v>4529</v>
      </c>
      <c r="K118" s="130">
        <f t="shared" ref="K118" si="54">I118/J118</f>
        <v>36.832854934864208</v>
      </c>
    </row>
    <row r="119" spans="2:11" ht="12.75" customHeight="1">
      <c r="B119" s="182" t="s">
        <v>78</v>
      </c>
      <c r="C119" s="98"/>
      <c r="D119" s="98"/>
      <c r="E119" s="163"/>
      <c r="F119" s="98"/>
      <c r="G119" s="98"/>
      <c r="H119" s="164"/>
      <c r="I119" s="165"/>
      <c r="J119" s="165"/>
      <c r="K119" s="166"/>
    </row>
    <row r="120" spans="2:11" ht="12.75" customHeight="1">
      <c r="B120" s="124" t="s">
        <v>79</v>
      </c>
      <c r="C120" s="154">
        <f>SUM(C111:C116)</f>
        <v>91829</v>
      </c>
      <c r="D120" s="125">
        <f>SUM(D111:D116)</f>
        <v>2233</v>
      </c>
      <c r="E120" s="127"/>
      <c r="F120" s="125">
        <f>SUM(F111:F116)</f>
        <v>60269</v>
      </c>
      <c r="G120" s="125">
        <f>SUM(G111:G116)</f>
        <v>1987</v>
      </c>
      <c r="H120" s="128"/>
      <c r="I120" s="129">
        <f>C120+F120</f>
        <v>152098</v>
      </c>
      <c r="J120" s="129">
        <f>D120+G120</f>
        <v>4220</v>
      </c>
      <c r="K120" s="130"/>
    </row>
    <row r="121" spans="2:11" ht="12.75" customHeight="1">
      <c r="B121" s="190" t="s">
        <v>80</v>
      </c>
      <c r="C121" s="100"/>
      <c r="D121" s="100"/>
      <c r="F121" s="100"/>
      <c r="G121" s="100"/>
      <c r="I121" s="155"/>
      <c r="J121" s="155"/>
      <c r="K121" s="156"/>
    </row>
    <row r="122" spans="2:11" ht="12.75" customHeight="1">
      <c r="B122" s="191"/>
      <c r="C122" s="102"/>
      <c r="D122" s="102"/>
      <c r="F122" s="102"/>
      <c r="G122" s="102"/>
      <c r="I122" s="102"/>
      <c r="J122" s="102"/>
    </row>
    <row r="123" spans="2:11" ht="12.75" customHeight="1">
      <c r="B123" s="191"/>
      <c r="C123" s="102"/>
      <c r="D123" s="102"/>
      <c r="F123" s="102"/>
      <c r="G123" s="102"/>
      <c r="I123" s="102"/>
      <c r="J123" s="102"/>
    </row>
    <row r="124" spans="2:11" ht="12.75" customHeight="1">
      <c r="B124" s="75"/>
      <c r="C124" s="75"/>
      <c r="D124" s="75"/>
      <c r="E124" s="75"/>
      <c r="F124" s="75"/>
      <c r="G124" s="75"/>
      <c r="H124" s="75"/>
      <c r="I124" s="75"/>
      <c r="J124" s="75"/>
      <c r="K124" s="75"/>
    </row>
    <row r="125" spans="2:11" ht="12.75" customHeight="1">
      <c r="B125" s="16" t="s">
        <v>107</v>
      </c>
      <c r="C125" s="294" t="s">
        <v>2</v>
      </c>
      <c r="D125" s="294"/>
      <c r="E125" s="295"/>
      <c r="F125" s="296" t="s">
        <v>3</v>
      </c>
      <c r="G125" s="297"/>
      <c r="H125" s="298"/>
      <c r="I125" s="299" t="s">
        <v>4</v>
      </c>
      <c r="J125" s="300"/>
      <c r="K125" s="300"/>
    </row>
    <row r="126" spans="2:11" ht="12.75" customHeight="1">
      <c r="B126" s="83"/>
      <c r="C126" s="132" t="s">
        <v>5</v>
      </c>
      <c r="D126" s="133" t="s">
        <v>6</v>
      </c>
      <c r="E126" s="137" t="s">
        <v>7</v>
      </c>
      <c r="F126" s="134" t="s">
        <v>5</v>
      </c>
      <c r="G126" s="135" t="s">
        <v>6</v>
      </c>
      <c r="H126" s="138" t="s">
        <v>8</v>
      </c>
      <c r="I126" s="136" t="s">
        <v>5</v>
      </c>
      <c r="J126" s="136" t="s">
        <v>6</v>
      </c>
      <c r="K126" s="139" t="s">
        <v>8</v>
      </c>
    </row>
    <row r="127" spans="2:11" ht="12.75" customHeight="1">
      <c r="B127" s="37" t="s">
        <v>9</v>
      </c>
      <c r="C127" s="96">
        <v>17667</v>
      </c>
      <c r="D127" s="97">
        <v>523</v>
      </c>
      <c r="E127" s="40">
        <f>C127/D127</f>
        <v>33.780114722753346</v>
      </c>
      <c r="F127" s="103">
        <v>835</v>
      </c>
      <c r="G127" s="104">
        <v>118</v>
      </c>
      <c r="H127" s="41">
        <f t="shared" ref="H127:H132" si="55">F127/G127</f>
        <v>7.0762711864406782</v>
      </c>
      <c r="I127" s="119">
        <f t="shared" ref="I127:I132" si="56">C127+F127</f>
        <v>18502</v>
      </c>
      <c r="J127" s="119">
        <f>D127+G127</f>
        <v>641</v>
      </c>
      <c r="K127" s="43">
        <f>I127/J127</f>
        <v>28.86427457098284</v>
      </c>
    </row>
    <row r="128" spans="2:11" ht="12.75" customHeight="1">
      <c r="B128" s="45" t="s">
        <v>10</v>
      </c>
      <c r="C128" s="98">
        <v>14183</v>
      </c>
      <c r="D128" s="99">
        <v>273</v>
      </c>
      <c r="E128" s="48">
        <f t="shared" ref="E128:E132" si="57">C128/D128</f>
        <v>51.952380952380949</v>
      </c>
      <c r="F128" s="105">
        <v>1096</v>
      </c>
      <c r="G128" s="106">
        <v>52</v>
      </c>
      <c r="H128" s="49">
        <f t="shared" si="55"/>
        <v>21.076923076923077</v>
      </c>
      <c r="I128" s="120">
        <f t="shared" si="56"/>
        <v>15279</v>
      </c>
      <c r="J128" s="120">
        <f t="shared" ref="J128:J132" si="58">D128+G128</f>
        <v>325</v>
      </c>
      <c r="K128" s="51">
        <f t="shared" ref="K128:K132" si="59">I128/J128</f>
        <v>47.012307692307694</v>
      </c>
    </row>
    <row r="129" spans="2:11" ht="12.75" customHeight="1">
      <c r="B129" s="45" t="s">
        <v>11</v>
      </c>
      <c r="C129" s="98">
        <v>8004</v>
      </c>
      <c r="D129" s="99">
        <v>286</v>
      </c>
      <c r="E129" s="48">
        <f t="shared" si="57"/>
        <v>27.986013986013987</v>
      </c>
      <c r="F129" s="105">
        <v>691</v>
      </c>
      <c r="G129" s="106">
        <v>90</v>
      </c>
      <c r="H129" s="49">
        <f t="shared" si="55"/>
        <v>7.677777777777778</v>
      </c>
      <c r="I129" s="120">
        <f t="shared" si="56"/>
        <v>8695</v>
      </c>
      <c r="J129" s="120">
        <f t="shared" si="58"/>
        <v>376</v>
      </c>
      <c r="K129" s="51">
        <f t="shared" si="59"/>
        <v>23.125</v>
      </c>
    </row>
    <row r="130" spans="2:11" ht="12.75" customHeight="1">
      <c r="B130" s="45" t="s">
        <v>12</v>
      </c>
      <c r="C130" s="98">
        <v>25546</v>
      </c>
      <c r="D130" s="99">
        <v>733</v>
      </c>
      <c r="E130" s="48">
        <f t="shared" si="57"/>
        <v>34.851296043656205</v>
      </c>
      <c r="F130" s="105">
        <v>1784</v>
      </c>
      <c r="G130" s="106">
        <v>168</v>
      </c>
      <c r="H130" s="49">
        <f t="shared" si="55"/>
        <v>10.619047619047619</v>
      </c>
      <c r="I130" s="120">
        <f t="shared" si="56"/>
        <v>27330</v>
      </c>
      <c r="J130" s="120">
        <f t="shared" si="58"/>
        <v>901</v>
      </c>
      <c r="K130" s="51">
        <f t="shared" si="59"/>
        <v>30.332963374028857</v>
      </c>
    </row>
    <row r="131" spans="2:11" ht="12.75" customHeight="1">
      <c r="B131" s="45" t="s">
        <v>21</v>
      </c>
      <c r="C131" s="98">
        <v>16746</v>
      </c>
      <c r="D131" s="99">
        <v>479</v>
      </c>
      <c r="E131" s="48">
        <f t="shared" si="57"/>
        <v>34.96033402922756</v>
      </c>
      <c r="F131" s="105">
        <v>1025</v>
      </c>
      <c r="G131" s="106">
        <v>130</v>
      </c>
      <c r="H131" s="49">
        <f t="shared" si="55"/>
        <v>7.884615384615385</v>
      </c>
      <c r="I131" s="120">
        <f t="shared" si="56"/>
        <v>17771</v>
      </c>
      <c r="J131" s="120">
        <f t="shared" si="58"/>
        <v>609</v>
      </c>
      <c r="K131" s="51">
        <f t="shared" si="59"/>
        <v>29.180623973727421</v>
      </c>
    </row>
    <row r="132" spans="2:11" ht="12.75" customHeight="1">
      <c r="B132" s="45" t="s">
        <v>13</v>
      </c>
      <c r="C132" s="98">
        <v>76095</v>
      </c>
      <c r="D132" s="99">
        <v>2102</v>
      </c>
      <c r="E132" s="48">
        <f t="shared" si="57"/>
        <v>36.201236917221692</v>
      </c>
      <c r="F132" s="105">
        <v>2439</v>
      </c>
      <c r="G132" s="106">
        <v>197</v>
      </c>
      <c r="H132" s="49">
        <f t="shared" si="55"/>
        <v>12.380710659898478</v>
      </c>
      <c r="I132" s="120">
        <f t="shared" si="56"/>
        <v>78534</v>
      </c>
      <c r="J132" s="120">
        <f t="shared" si="58"/>
        <v>2299</v>
      </c>
      <c r="K132" s="51">
        <f t="shared" si="59"/>
        <v>34.160069595476294</v>
      </c>
    </row>
    <row r="133" spans="2:11" ht="12.75" customHeight="1">
      <c r="B133" s="53"/>
      <c r="C133" s="100"/>
      <c r="D133" s="101"/>
      <c r="E133" s="56"/>
      <c r="F133" s="107"/>
      <c r="G133" s="108"/>
      <c r="H133" s="57"/>
      <c r="I133" s="121"/>
      <c r="J133" s="121"/>
      <c r="K133" s="59"/>
    </row>
    <row r="134" spans="2:11" ht="12.75" customHeight="1">
      <c r="B134" s="124" t="s">
        <v>81</v>
      </c>
      <c r="C134" s="125">
        <v>172830</v>
      </c>
      <c r="D134" s="125">
        <v>4737</v>
      </c>
      <c r="E134" s="127">
        <f>C134/D134</f>
        <v>36.485117162761242</v>
      </c>
      <c r="F134" s="125">
        <v>8426</v>
      </c>
      <c r="G134" s="125">
        <v>804</v>
      </c>
      <c r="H134" s="128">
        <f>F134/G134</f>
        <v>10.480099502487562</v>
      </c>
      <c r="I134" s="129">
        <f>C134+F134</f>
        <v>181256</v>
      </c>
      <c r="J134" s="129">
        <f>D134+G134</f>
        <v>5541</v>
      </c>
      <c r="K134" s="130">
        <f>I134/J134</f>
        <v>32.711784876376107</v>
      </c>
    </row>
    <row r="135" spans="2:11" ht="12.75" customHeight="1">
      <c r="B135" s="182" t="s">
        <v>78</v>
      </c>
      <c r="C135" s="185"/>
      <c r="D135" s="125"/>
      <c r="E135" s="127"/>
      <c r="F135" s="125"/>
      <c r="G135" s="125"/>
      <c r="H135" s="128"/>
      <c r="I135" s="129"/>
      <c r="J135" s="129"/>
      <c r="K135" s="130"/>
    </row>
    <row r="136" spans="2:11" ht="12.75" customHeight="1">
      <c r="B136" s="124" t="s">
        <v>79</v>
      </c>
      <c r="C136" s="125">
        <f>SUM(C127:C132)</f>
        <v>158241</v>
      </c>
      <c r="D136" s="125">
        <f>SUM(D127:D132)</f>
        <v>4396</v>
      </c>
      <c r="E136" s="127"/>
      <c r="F136" s="125">
        <f>SUM(F127:F132)</f>
        <v>7870</v>
      </c>
      <c r="G136" s="125">
        <f>SUM(G127:G132)</f>
        <v>755</v>
      </c>
      <c r="H136" s="128"/>
      <c r="I136" s="129">
        <f>C136+F136</f>
        <v>166111</v>
      </c>
      <c r="J136" s="129">
        <f>D136+G136</f>
        <v>5151</v>
      </c>
      <c r="K136" s="130"/>
    </row>
    <row r="137" spans="2:11" ht="12.75" customHeight="1">
      <c r="B137" s="186" t="s">
        <v>80</v>
      </c>
      <c r="C137" s="102"/>
      <c r="D137" s="102"/>
      <c r="F137" s="109"/>
      <c r="G137" s="109"/>
      <c r="I137" s="180"/>
      <c r="J137" s="180"/>
    </row>
    <row r="138" spans="2:11" ht="5.45" customHeight="1">
      <c r="B138" s="187"/>
      <c r="C138" s="188"/>
      <c r="D138" s="188"/>
      <c r="E138" s="187"/>
      <c r="F138" s="189"/>
      <c r="G138" s="189"/>
      <c r="H138" s="187"/>
      <c r="I138" s="189"/>
      <c r="J138" s="189"/>
      <c r="K138" s="187"/>
    </row>
    <row r="139" spans="2:11" ht="5.45" customHeight="1">
      <c r="C139" s="102"/>
      <c r="D139" s="102"/>
      <c r="F139" s="109"/>
      <c r="G139" s="109"/>
      <c r="I139" s="109"/>
      <c r="J139" s="109"/>
    </row>
    <row r="140" spans="2:11" ht="12.75" customHeight="1">
      <c r="B140" s="16" t="s">
        <v>107</v>
      </c>
      <c r="C140" s="294" t="s">
        <v>75</v>
      </c>
      <c r="D140" s="294"/>
      <c r="E140" s="295"/>
      <c r="F140" s="301" t="s">
        <v>76</v>
      </c>
      <c r="G140" s="294"/>
      <c r="H140" s="295"/>
      <c r="I140" s="302" t="s">
        <v>77</v>
      </c>
      <c r="J140" s="303"/>
      <c r="K140" s="303"/>
    </row>
    <row r="141" spans="2:11" ht="12.75" customHeight="1">
      <c r="B141" s="83"/>
      <c r="C141" s="132" t="s">
        <v>5</v>
      </c>
      <c r="D141" s="133" t="s">
        <v>6</v>
      </c>
      <c r="E141" s="137" t="s">
        <v>7</v>
      </c>
      <c r="F141" s="134" t="s">
        <v>5</v>
      </c>
      <c r="G141" s="135" t="s">
        <v>6</v>
      </c>
      <c r="H141" s="138" t="s">
        <v>8</v>
      </c>
      <c r="I141" s="136" t="s">
        <v>5</v>
      </c>
      <c r="J141" s="136" t="s">
        <v>6</v>
      </c>
      <c r="K141" s="139" t="s">
        <v>8</v>
      </c>
    </row>
    <row r="142" spans="2:11" ht="12.75" customHeight="1">
      <c r="B142" s="157" t="s">
        <v>9</v>
      </c>
      <c r="C142" s="96">
        <v>8942</v>
      </c>
      <c r="D142" s="97">
        <v>214</v>
      </c>
      <c r="E142" s="158">
        <f t="shared" ref="E142:E147" si="60">C142/D142</f>
        <v>41.785046728971963</v>
      </c>
      <c r="F142" s="96">
        <v>8725</v>
      </c>
      <c r="G142" s="97">
        <v>309</v>
      </c>
      <c r="H142" s="159">
        <f t="shared" ref="H142:H147" si="61">F142/G142</f>
        <v>28.236245954692556</v>
      </c>
      <c r="I142" s="160">
        <f t="shared" ref="I142:I147" si="62">C142+F142</f>
        <v>17667</v>
      </c>
      <c r="J142" s="160">
        <f t="shared" ref="J142:J147" si="63">D142+G142</f>
        <v>523</v>
      </c>
      <c r="K142" s="161">
        <f t="shared" ref="K142:K147" si="64">I142/J142</f>
        <v>33.780114722753346</v>
      </c>
    </row>
    <row r="143" spans="2:11" ht="12.75" customHeight="1">
      <c r="B143" s="162" t="s">
        <v>10</v>
      </c>
      <c r="C143" s="98">
        <v>4401</v>
      </c>
      <c r="D143" s="99">
        <v>61</v>
      </c>
      <c r="E143" s="163">
        <f t="shared" si="60"/>
        <v>72.147540983606561</v>
      </c>
      <c r="F143" s="98">
        <v>9782</v>
      </c>
      <c r="G143" s="99">
        <v>212</v>
      </c>
      <c r="H143" s="164">
        <f t="shared" si="61"/>
        <v>46.141509433962263</v>
      </c>
      <c r="I143" s="165">
        <f t="shared" si="62"/>
        <v>14183</v>
      </c>
      <c r="J143" s="165">
        <f t="shared" si="63"/>
        <v>273</v>
      </c>
      <c r="K143" s="166">
        <f t="shared" si="64"/>
        <v>51.952380952380949</v>
      </c>
    </row>
    <row r="144" spans="2:11" ht="12.75" customHeight="1">
      <c r="B144" s="162" t="s">
        <v>11</v>
      </c>
      <c r="C144" s="98">
        <v>4750</v>
      </c>
      <c r="D144" s="99">
        <v>152</v>
      </c>
      <c r="E144" s="163">
        <f t="shared" si="60"/>
        <v>31.25</v>
      </c>
      <c r="F144" s="98">
        <v>3254</v>
      </c>
      <c r="G144" s="99">
        <v>134</v>
      </c>
      <c r="H144" s="164">
        <f t="shared" si="61"/>
        <v>24.28358208955224</v>
      </c>
      <c r="I144" s="165">
        <f t="shared" si="62"/>
        <v>8004</v>
      </c>
      <c r="J144" s="165">
        <f t="shared" si="63"/>
        <v>286</v>
      </c>
      <c r="K144" s="166">
        <f t="shared" si="64"/>
        <v>27.986013986013987</v>
      </c>
    </row>
    <row r="145" spans="2:11" ht="12.75" customHeight="1">
      <c r="B145" s="162" t="s">
        <v>12</v>
      </c>
      <c r="C145" s="98">
        <v>10574</v>
      </c>
      <c r="D145" s="99">
        <v>279</v>
      </c>
      <c r="E145" s="163">
        <f t="shared" si="60"/>
        <v>37.899641577060933</v>
      </c>
      <c r="F145" s="98">
        <v>14972</v>
      </c>
      <c r="G145" s="99">
        <v>454</v>
      </c>
      <c r="H145" s="164">
        <f t="shared" si="61"/>
        <v>32.977973568281939</v>
      </c>
      <c r="I145" s="165">
        <f t="shared" si="62"/>
        <v>25546</v>
      </c>
      <c r="J145" s="165">
        <f t="shared" si="63"/>
        <v>733</v>
      </c>
      <c r="K145" s="166">
        <f t="shared" si="64"/>
        <v>34.851296043656205</v>
      </c>
    </row>
    <row r="146" spans="2:11" ht="12.75" customHeight="1">
      <c r="B146" s="162" t="s">
        <v>21</v>
      </c>
      <c r="C146" s="98">
        <v>9204</v>
      </c>
      <c r="D146" s="99">
        <v>228</v>
      </c>
      <c r="E146" s="163">
        <f t="shared" si="60"/>
        <v>40.368421052631582</v>
      </c>
      <c r="F146" s="98">
        <v>7542</v>
      </c>
      <c r="G146" s="99">
        <v>251</v>
      </c>
      <c r="H146" s="164">
        <f t="shared" si="61"/>
        <v>30.047808764940239</v>
      </c>
      <c r="I146" s="165">
        <f t="shared" si="62"/>
        <v>16746</v>
      </c>
      <c r="J146" s="165">
        <f t="shared" si="63"/>
        <v>479</v>
      </c>
      <c r="K146" s="166">
        <f t="shared" si="64"/>
        <v>34.96033402922756</v>
      </c>
    </row>
    <row r="147" spans="2:11" ht="12.75" customHeight="1">
      <c r="B147" s="162" t="s">
        <v>13</v>
      </c>
      <c r="C147" s="98">
        <v>57285</v>
      </c>
      <c r="D147" s="99">
        <v>1423</v>
      </c>
      <c r="E147" s="163">
        <f t="shared" si="60"/>
        <v>40.256500351370342</v>
      </c>
      <c r="F147" s="98">
        <v>18810</v>
      </c>
      <c r="G147" s="99">
        <v>679</v>
      </c>
      <c r="H147" s="164">
        <f t="shared" si="61"/>
        <v>27.702503681885126</v>
      </c>
      <c r="I147" s="165">
        <f t="shared" si="62"/>
        <v>76095</v>
      </c>
      <c r="J147" s="165">
        <f t="shared" si="63"/>
        <v>2102</v>
      </c>
      <c r="K147" s="166">
        <f t="shared" si="64"/>
        <v>36.201236917221692</v>
      </c>
    </row>
    <row r="148" spans="2:11" ht="12.75" customHeight="1">
      <c r="B148" s="167"/>
      <c r="C148" s="100"/>
      <c r="D148" s="101"/>
      <c r="E148" s="168"/>
      <c r="F148" s="100"/>
      <c r="G148" s="101"/>
      <c r="H148" s="169"/>
      <c r="I148" s="155"/>
      <c r="J148" s="155"/>
      <c r="K148" s="170"/>
    </row>
    <row r="149" spans="2:11" ht="12.75" customHeight="1">
      <c r="B149" s="124" t="s">
        <v>81</v>
      </c>
      <c r="C149" s="154">
        <v>106732</v>
      </c>
      <c r="D149" s="125">
        <v>2605</v>
      </c>
      <c r="E149" s="127">
        <f>C149/D149</f>
        <v>40.971976967370445</v>
      </c>
      <c r="F149" s="125">
        <v>66098</v>
      </c>
      <c r="G149" s="125">
        <v>2132</v>
      </c>
      <c r="H149" s="128">
        <f t="shared" ref="H149" si="65">F149/G149</f>
        <v>31.002814258911819</v>
      </c>
      <c r="I149" s="129">
        <f t="shared" ref="I149" si="66">C149+F149</f>
        <v>172830</v>
      </c>
      <c r="J149" s="129">
        <f>D149+G149</f>
        <v>4737</v>
      </c>
      <c r="K149" s="130">
        <f t="shared" ref="K149" si="67">I149/J149</f>
        <v>36.485117162761242</v>
      </c>
    </row>
    <row r="150" spans="2:11" ht="12.75" customHeight="1">
      <c r="B150" s="182" t="s">
        <v>78</v>
      </c>
      <c r="C150" s="98"/>
      <c r="D150" s="98"/>
      <c r="E150" s="163"/>
      <c r="F150" s="98"/>
      <c r="G150" s="98"/>
      <c r="H150" s="164"/>
      <c r="I150" s="165"/>
      <c r="J150" s="165"/>
      <c r="K150" s="166"/>
    </row>
    <row r="151" spans="2:11" ht="12.75" customHeight="1">
      <c r="B151" s="124" t="s">
        <v>79</v>
      </c>
      <c r="C151" s="154">
        <f>SUM(C142:C147)</f>
        <v>95156</v>
      </c>
      <c r="D151" s="125">
        <f>SUM(D142:D147)</f>
        <v>2357</v>
      </c>
      <c r="E151" s="127"/>
      <c r="F151" s="125">
        <f>SUM(F142:F147)</f>
        <v>63085</v>
      </c>
      <c r="G151" s="125">
        <f>SUM(G142:G147)</f>
        <v>2039</v>
      </c>
      <c r="H151" s="128"/>
      <c r="I151" s="129">
        <f>C151+F151</f>
        <v>158241</v>
      </c>
      <c r="J151" s="129">
        <f>D151+G151</f>
        <v>4396</v>
      </c>
      <c r="K151" s="130"/>
    </row>
    <row r="152" spans="2:11" ht="12.75" customHeight="1">
      <c r="B152" s="190" t="s">
        <v>80</v>
      </c>
      <c r="C152" s="100"/>
      <c r="D152" s="100"/>
      <c r="F152" s="100"/>
      <c r="G152" s="100"/>
      <c r="I152" s="155"/>
      <c r="J152" s="155"/>
      <c r="K152" s="156"/>
    </row>
    <row r="153" spans="2:11" ht="12.75" customHeight="1">
      <c r="B153" s="191"/>
      <c r="C153" s="102"/>
      <c r="D153" s="102"/>
      <c r="F153" s="102"/>
      <c r="G153" s="102"/>
      <c r="I153" s="102"/>
      <c r="J153" s="102"/>
    </row>
    <row r="154" spans="2:11" ht="12.75" customHeight="1">
      <c r="B154" s="191"/>
      <c r="C154" s="102"/>
      <c r="D154" s="102"/>
      <c r="F154" s="102"/>
      <c r="G154" s="102"/>
      <c r="I154" s="102"/>
      <c r="J154" s="102"/>
    </row>
    <row r="155" spans="2:11" ht="12.75" customHeight="1">
      <c r="B155" s="75"/>
      <c r="C155" s="75"/>
      <c r="D155" s="75"/>
      <c r="E155" s="75"/>
      <c r="F155" s="75"/>
      <c r="G155" s="75"/>
      <c r="H155" s="75"/>
      <c r="I155" s="75"/>
      <c r="J155" s="75"/>
      <c r="K155" s="75"/>
    </row>
    <row r="156" spans="2:11" ht="12.75" customHeight="1">
      <c r="B156" s="16" t="s">
        <v>103</v>
      </c>
      <c r="C156" s="304" t="s">
        <v>2</v>
      </c>
      <c r="D156" s="304"/>
      <c r="E156" s="305"/>
      <c r="F156" s="306" t="s">
        <v>3</v>
      </c>
      <c r="G156" s="304"/>
      <c r="H156" s="305"/>
      <c r="I156" s="299" t="s">
        <v>4</v>
      </c>
      <c r="J156" s="300"/>
      <c r="K156" s="300"/>
    </row>
    <row r="157" spans="2:11" ht="12.75" customHeight="1">
      <c r="B157" s="83"/>
      <c r="C157" s="132" t="s">
        <v>5</v>
      </c>
      <c r="D157" s="133" t="s">
        <v>6</v>
      </c>
      <c r="E157" s="137" t="s">
        <v>7</v>
      </c>
      <c r="F157" s="134" t="s">
        <v>5</v>
      </c>
      <c r="G157" s="135" t="s">
        <v>6</v>
      </c>
      <c r="H157" s="138" t="s">
        <v>8</v>
      </c>
      <c r="I157" s="136" t="s">
        <v>5</v>
      </c>
      <c r="J157" s="136" t="s">
        <v>6</v>
      </c>
      <c r="K157" s="139" t="s">
        <v>8</v>
      </c>
    </row>
    <row r="158" spans="2:11" ht="12.75" customHeight="1">
      <c r="B158" s="37" t="s">
        <v>9</v>
      </c>
      <c r="C158" s="96">
        <v>18476</v>
      </c>
      <c r="D158" s="97">
        <v>507</v>
      </c>
      <c r="E158" s="40">
        <f>C158/D158</f>
        <v>36.441814595660752</v>
      </c>
      <c r="F158" s="103">
        <v>978</v>
      </c>
      <c r="G158" s="104">
        <v>114</v>
      </c>
      <c r="H158" s="41">
        <f t="shared" ref="H158:H163" si="68">F158/G158</f>
        <v>8.5789473684210531</v>
      </c>
      <c r="I158" s="119">
        <f t="shared" ref="I158:I163" si="69">C158+F158</f>
        <v>19454</v>
      </c>
      <c r="J158" s="119">
        <f>D158+G158</f>
        <v>621</v>
      </c>
      <c r="K158" s="43">
        <f>I158/J158</f>
        <v>31.326892109500804</v>
      </c>
    </row>
    <row r="159" spans="2:11" ht="12.75" customHeight="1">
      <c r="B159" s="45" t="s">
        <v>10</v>
      </c>
      <c r="C159" s="98">
        <v>14241</v>
      </c>
      <c r="D159" s="99">
        <v>281</v>
      </c>
      <c r="E159" s="48">
        <f t="shared" ref="E159:E163" si="70">C159/D159</f>
        <v>50.679715302491104</v>
      </c>
      <c r="F159" s="105">
        <v>857</v>
      </c>
      <c r="G159" s="106">
        <v>56</v>
      </c>
      <c r="H159" s="49">
        <f t="shared" si="68"/>
        <v>15.303571428571429</v>
      </c>
      <c r="I159" s="120">
        <f t="shared" si="69"/>
        <v>15098</v>
      </c>
      <c r="J159" s="120">
        <f t="shared" ref="J159:J163" si="71">D159+G159</f>
        <v>337</v>
      </c>
      <c r="K159" s="51">
        <f t="shared" ref="K159:K163" si="72">I159/J159</f>
        <v>44.801186943620181</v>
      </c>
    </row>
    <row r="160" spans="2:11" ht="12.75" customHeight="1">
      <c r="B160" s="45" t="s">
        <v>11</v>
      </c>
      <c r="C160" s="98">
        <v>7897</v>
      </c>
      <c r="D160" s="99">
        <v>259</v>
      </c>
      <c r="E160" s="48">
        <f t="shared" si="70"/>
        <v>30.490347490347489</v>
      </c>
      <c r="F160" s="105">
        <v>822</v>
      </c>
      <c r="G160" s="106">
        <v>91</v>
      </c>
      <c r="H160" s="49">
        <f t="shared" si="68"/>
        <v>9.0329670329670328</v>
      </c>
      <c r="I160" s="120">
        <f t="shared" si="69"/>
        <v>8719</v>
      </c>
      <c r="J160" s="120">
        <f t="shared" si="71"/>
        <v>350</v>
      </c>
      <c r="K160" s="51">
        <f t="shared" si="72"/>
        <v>24.911428571428573</v>
      </c>
    </row>
    <row r="161" spans="2:11" ht="12.75" customHeight="1">
      <c r="B161" s="45" t="s">
        <v>12</v>
      </c>
      <c r="C161" s="98">
        <v>26268</v>
      </c>
      <c r="D161" s="99">
        <v>712</v>
      </c>
      <c r="E161" s="48">
        <f t="shared" si="70"/>
        <v>36.893258426966291</v>
      </c>
      <c r="F161" s="105">
        <v>1997</v>
      </c>
      <c r="G161" s="106">
        <v>149</v>
      </c>
      <c r="H161" s="49">
        <f t="shared" si="68"/>
        <v>13.40268456375839</v>
      </c>
      <c r="I161" s="120">
        <f t="shared" si="69"/>
        <v>28265</v>
      </c>
      <c r="J161" s="120">
        <f t="shared" si="71"/>
        <v>861</v>
      </c>
      <c r="K161" s="51">
        <f t="shared" si="72"/>
        <v>32.828106852497093</v>
      </c>
    </row>
    <row r="162" spans="2:11" ht="12.75" customHeight="1">
      <c r="B162" s="45" t="s">
        <v>21</v>
      </c>
      <c r="C162" s="98">
        <v>17583</v>
      </c>
      <c r="D162" s="99">
        <v>490</v>
      </c>
      <c r="E162" s="48">
        <f t="shared" si="70"/>
        <v>35.883673469387752</v>
      </c>
      <c r="F162" s="105">
        <v>951</v>
      </c>
      <c r="G162" s="106">
        <v>120</v>
      </c>
      <c r="H162" s="49">
        <f t="shared" si="68"/>
        <v>7.9249999999999998</v>
      </c>
      <c r="I162" s="120">
        <f t="shared" si="69"/>
        <v>18534</v>
      </c>
      <c r="J162" s="120">
        <f t="shared" si="71"/>
        <v>610</v>
      </c>
      <c r="K162" s="51">
        <f t="shared" si="72"/>
        <v>30.38360655737705</v>
      </c>
    </row>
    <row r="163" spans="2:11" ht="12.75" customHeight="1">
      <c r="B163" s="45" t="s">
        <v>13</v>
      </c>
      <c r="C163" s="98">
        <v>80824</v>
      </c>
      <c r="D163" s="99">
        <v>2160</v>
      </c>
      <c r="E163" s="48">
        <f t="shared" si="70"/>
        <v>37.418518518518518</v>
      </c>
      <c r="F163" s="105">
        <v>2674</v>
      </c>
      <c r="G163" s="106">
        <v>187</v>
      </c>
      <c r="H163" s="49">
        <f t="shared" si="68"/>
        <v>14.299465240641711</v>
      </c>
      <c r="I163" s="120">
        <f t="shared" si="69"/>
        <v>83498</v>
      </c>
      <c r="J163" s="120">
        <f t="shared" si="71"/>
        <v>2347</v>
      </c>
      <c r="K163" s="51">
        <f t="shared" si="72"/>
        <v>35.576480613549215</v>
      </c>
    </row>
    <row r="164" spans="2:11" ht="12.75" customHeight="1">
      <c r="B164" s="53"/>
      <c r="C164" s="100"/>
      <c r="D164" s="101"/>
      <c r="E164" s="56"/>
      <c r="F164" s="107"/>
      <c r="G164" s="108"/>
      <c r="H164" s="57"/>
      <c r="I164" s="121"/>
      <c r="J164" s="121"/>
      <c r="K164" s="59"/>
    </row>
    <row r="165" spans="2:11" ht="12.75" customHeight="1">
      <c r="B165" s="124" t="s">
        <v>81</v>
      </c>
      <c r="C165" s="125">
        <v>180652</v>
      </c>
      <c r="D165" s="125">
        <v>4771</v>
      </c>
      <c r="E165" s="127">
        <f>C165/D165</f>
        <v>37.864598616642212</v>
      </c>
      <c r="F165" s="125">
        <v>8833</v>
      </c>
      <c r="G165" s="125">
        <v>761</v>
      </c>
      <c r="H165" s="128">
        <f>F165/G165</f>
        <v>11.607095926412615</v>
      </c>
      <c r="I165" s="129">
        <f>C165+F165</f>
        <v>189485</v>
      </c>
      <c r="J165" s="129">
        <f>D165+G165</f>
        <v>5532</v>
      </c>
      <c r="K165" s="130">
        <f>I165/J165</f>
        <v>34.252530730296456</v>
      </c>
    </row>
    <row r="166" spans="2:11" ht="12.75" customHeight="1">
      <c r="B166" s="182" t="s">
        <v>78</v>
      </c>
      <c r="C166" s="185"/>
      <c r="D166" s="125"/>
      <c r="E166" s="127"/>
      <c r="F166" s="125"/>
      <c r="G166" s="125"/>
      <c r="H166" s="128"/>
      <c r="I166" s="129"/>
      <c r="J166" s="129"/>
      <c r="K166" s="130"/>
    </row>
    <row r="167" spans="2:11" ht="12.75" customHeight="1">
      <c r="B167" s="124" t="s">
        <v>79</v>
      </c>
      <c r="C167" s="125">
        <f>SUM(C158:C163)</f>
        <v>165289</v>
      </c>
      <c r="D167" s="125">
        <f>SUM(D158:D163)</f>
        <v>4409</v>
      </c>
      <c r="E167" s="127"/>
      <c r="F167" s="125">
        <f>SUM(F158:F163)</f>
        <v>8279</v>
      </c>
      <c r="G167" s="125">
        <f>SUM(G158:G163)</f>
        <v>717</v>
      </c>
      <c r="H167" s="128"/>
      <c r="I167" s="129">
        <f>C167+F167</f>
        <v>173568</v>
      </c>
      <c r="J167" s="129">
        <f>D167+G167</f>
        <v>5126</v>
      </c>
      <c r="K167" s="130"/>
    </row>
    <row r="168" spans="2:11" ht="12.75" customHeight="1">
      <c r="B168" s="186" t="s">
        <v>80</v>
      </c>
      <c r="C168" s="102"/>
      <c r="D168" s="102"/>
      <c r="F168" s="109"/>
      <c r="G168" s="109"/>
      <c r="I168" s="180"/>
      <c r="J168" s="180"/>
    </row>
    <row r="169" spans="2:11" ht="5.45" customHeight="1">
      <c r="B169" s="187"/>
      <c r="C169" s="188"/>
      <c r="D169" s="188"/>
      <c r="E169" s="187"/>
      <c r="F169" s="189"/>
      <c r="G169" s="189"/>
      <c r="H169" s="187"/>
      <c r="I169" s="189"/>
      <c r="J169" s="189"/>
      <c r="K169" s="187"/>
    </row>
    <row r="170" spans="2:11" ht="5.45" customHeight="1">
      <c r="C170" s="102"/>
      <c r="D170" s="102"/>
      <c r="F170" s="109"/>
      <c r="G170" s="109"/>
      <c r="I170" s="109"/>
      <c r="J170" s="109"/>
    </row>
    <row r="171" spans="2:11" ht="12.75" customHeight="1">
      <c r="B171" s="16" t="s">
        <v>103</v>
      </c>
      <c r="C171" s="304" t="s">
        <v>75</v>
      </c>
      <c r="D171" s="304"/>
      <c r="E171" s="305"/>
      <c r="F171" s="306" t="s">
        <v>76</v>
      </c>
      <c r="G171" s="304"/>
      <c r="H171" s="305"/>
      <c r="I171" s="299" t="s">
        <v>77</v>
      </c>
      <c r="J171" s="300"/>
      <c r="K171" s="300"/>
    </row>
    <row r="172" spans="2:11" ht="12.75" customHeight="1">
      <c r="B172" s="83"/>
      <c r="C172" s="132" t="s">
        <v>5</v>
      </c>
      <c r="D172" s="133" t="s">
        <v>6</v>
      </c>
      <c r="E172" s="137" t="s">
        <v>7</v>
      </c>
      <c r="F172" s="134" t="s">
        <v>5</v>
      </c>
      <c r="G172" s="135" t="s">
        <v>6</v>
      </c>
      <c r="H172" s="138" t="s">
        <v>8</v>
      </c>
      <c r="I172" s="136" t="s">
        <v>5</v>
      </c>
      <c r="J172" s="136" t="s">
        <v>6</v>
      </c>
      <c r="K172" s="139" t="s">
        <v>8</v>
      </c>
    </row>
    <row r="173" spans="2:11" ht="12.75" customHeight="1">
      <c r="B173" s="157" t="s">
        <v>9</v>
      </c>
      <c r="C173" s="96">
        <v>9227</v>
      </c>
      <c r="D173" s="97">
        <v>190</v>
      </c>
      <c r="E173" s="158">
        <f t="shared" ref="E173:E178" si="73">C173/D173</f>
        <v>48.56315789473684</v>
      </c>
      <c r="F173" s="96">
        <v>9249</v>
      </c>
      <c r="G173" s="97">
        <v>317</v>
      </c>
      <c r="H173" s="159">
        <f t="shared" ref="H173:H178" si="74">F173/G173</f>
        <v>29.176656151419557</v>
      </c>
      <c r="I173" s="160">
        <f t="shared" ref="I173:I178" si="75">C173+F173</f>
        <v>18476</v>
      </c>
      <c r="J173" s="160">
        <f t="shared" ref="J173:J178" si="76">D173+G173</f>
        <v>507</v>
      </c>
      <c r="K173" s="161">
        <f t="shared" ref="K173:K178" si="77">I173/J173</f>
        <v>36.441814595660752</v>
      </c>
    </row>
    <row r="174" spans="2:11" ht="12.75" customHeight="1">
      <c r="B174" s="162" t="s">
        <v>10</v>
      </c>
      <c r="C174" s="98">
        <v>4638</v>
      </c>
      <c r="D174" s="99">
        <v>62</v>
      </c>
      <c r="E174" s="163">
        <f t="shared" si="73"/>
        <v>74.806451612903231</v>
      </c>
      <c r="F174" s="98">
        <v>9603</v>
      </c>
      <c r="G174" s="99">
        <v>219</v>
      </c>
      <c r="H174" s="164">
        <f t="shared" si="74"/>
        <v>43.849315068493148</v>
      </c>
      <c r="I174" s="165">
        <f t="shared" si="75"/>
        <v>14241</v>
      </c>
      <c r="J174" s="165">
        <f t="shared" si="76"/>
        <v>281</v>
      </c>
      <c r="K174" s="166">
        <f t="shared" si="77"/>
        <v>50.679715302491104</v>
      </c>
    </row>
    <row r="175" spans="2:11" ht="12.75" customHeight="1">
      <c r="B175" s="162" t="s">
        <v>11</v>
      </c>
      <c r="C175" s="98">
        <v>4667</v>
      </c>
      <c r="D175" s="99">
        <v>133</v>
      </c>
      <c r="E175" s="163">
        <f t="shared" si="73"/>
        <v>35.090225563909776</v>
      </c>
      <c r="F175" s="98">
        <v>3230</v>
      </c>
      <c r="G175" s="99">
        <v>126</v>
      </c>
      <c r="H175" s="164">
        <f t="shared" si="74"/>
        <v>25.634920634920636</v>
      </c>
      <c r="I175" s="165">
        <f t="shared" si="75"/>
        <v>7897</v>
      </c>
      <c r="J175" s="165">
        <f t="shared" si="76"/>
        <v>259</v>
      </c>
      <c r="K175" s="166">
        <f t="shared" si="77"/>
        <v>30.490347490347489</v>
      </c>
    </row>
    <row r="176" spans="2:11" ht="12.75" customHeight="1">
      <c r="B176" s="162" t="s">
        <v>12</v>
      </c>
      <c r="C176" s="98">
        <v>11773</v>
      </c>
      <c r="D176" s="99">
        <v>288</v>
      </c>
      <c r="E176" s="163">
        <f t="shared" si="73"/>
        <v>40.878472222222221</v>
      </c>
      <c r="F176" s="98">
        <v>14495</v>
      </c>
      <c r="G176" s="99">
        <v>424</v>
      </c>
      <c r="H176" s="164">
        <f t="shared" si="74"/>
        <v>34.186320754716981</v>
      </c>
      <c r="I176" s="165">
        <f t="shared" si="75"/>
        <v>26268</v>
      </c>
      <c r="J176" s="165">
        <f t="shared" si="76"/>
        <v>712</v>
      </c>
      <c r="K176" s="166">
        <f t="shared" si="77"/>
        <v>36.893258426966291</v>
      </c>
    </row>
    <row r="177" spans="2:11" ht="12.75" customHeight="1">
      <c r="B177" s="162" t="s">
        <v>21</v>
      </c>
      <c r="C177" s="98">
        <v>10020</v>
      </c>
      <c r="D177" s="99">
        <v>240</v>
      </c>
      <c r="E177" s="163">
        <f t="shared" si="73"/>
        <v>41.75</v>
      </c>
      <c r="F177" s="98">
        <v>7563</v>
      </c>
      <c r="G177" s="99">
        <v>250</v>
      </c>
      <c r="H177" s="164">
        <f t="shared" si="74"/>
        <v>30.251999999999999</v>
      </c>
      <c r="I177" s="165">
        <f t="shared" si="75"/>
        <v>17583</v>
      </c>
      <c r="J177" s="165">
        <f t="shared" si="76"/>
        <v>490</v>
      </c>
      <c r="K177" s="166">
        <f t="shared" si="77"/>
        <v>35.883673469387752</v>
      </c>
    </row>
    <row r="178" spans="2:11" ht="12.75" customHeight="1">
      <c r="B178" s="162" t="s">
        <v>13</v>
      </c>
      <c r="C178" s="98">
        <v>61946</v>
      </c>
      <c r="D178" s="99">
        <v>1493</v>
      </c>
      <c r="E178" s="163">
        <f t="shared" si="73"/>
        <v>41.490957803081045</v>
      </c>
      <c r="F178" s="98">
        <v>18878</v>
      </c>
      <c r="G178" s="99">
        <v>667</v>
      </c>
      <c r="H178" s="164">
        <f t="shared" si="74"/>
        <v>28.302848575712144</v>
      </c>
      <c r="I178" s="165">
        <f t="shared" si="75"/>
        <v>80824</v>
      </c>
      <c r="J178" s="165">
        <f t="shared" si="76"/>
        <v>2160</v>
      </c>
      <c r="K178" s="166">
        <f t="shared" si="77"/>
        <v>37.418518518518518</v>
      </c>
    </row>
    <row r="179" spans="2:11" ht="12.75" customHeight="1">
      <c r="B179" s="167"/>
      <c r="C179" s="100"/>
      <c r="D179" s="101"/>
      <c r="E179" s="168"/>
      <c r="F179" s="100"/>
      <c r="G179" s="101"/>
      <c r="H179" s="169"/>
      <c r="I179" s="155"/>
      <c r="J179" s="155"/>
      <c r="K179" s="170"/>
    </row>
    <row r="180" spans="2:11" ht="12.75" customHeight="1">
      <c r="B180" s="124" t="s">
        <v>81</v>
      </c>
      <c r="C180" s="154">
        <v>114443</v>
      </c>
      <c r="D180" s="125">
        <v>2667</v>
      </c>
      <c r="E180" s="127">
        <f>C180/D180</f>
        <v>42.910761154855642</v>
      </c>
      <c r="F180" s="125">
        <v>66209</v>
      </c>
      <c r="G180" s="125">
        <v>2104</v>
      </c>
      <c r="H180" s="128">
        <f t="shared" ref="H180" si="78">F180/G180</f>
        <v>31.468155893536121</v>
      </c>
      <c r="I180" s="129">
        <f t="shared" ref="I180" si="79">C180+F180</f>
        <v>180652</v>
      </c>
      <c r="J180" s="129">
        <f>D180+G180</f>
        <v>4771</v>
      </c>
      <c r="K180" s="130">
        <f t="shared" ref="K180" si="80">I180/J180</f>
        <v>37.864598616642212</v>
      </c>
    </row>
    <row r="181" spans="2:11" ht="12.75" customHeight="1">
      <c r="B181" s="182" t="s">
        <v>78</v>
      </c>
      <c r="C181" s="98"/>
      <c r="D181" s="98"/>
      <c r="E181" s="163"/>
      <c r="F181" s="98"/>
      <c r="G181" s="98"/>
      <c r="H181" s="164"/>
      <c r="I181" s="165"/>
      <c r="J181" s="165"/>
      <c r="K181" s="166"/>
    </row>
    <row r="182" spans="2:11" ht="12.75" customHeight="1">
      <c r="B182" s="124" t="s">
        <v>79</v>
      </c>
      <c r="C182" s="154">
        <f>SUM(C173:C178)</f>
        <v>102271</v>
      </c>
      <c r="D182" s="125">
        <f>SUM(D173:D178)</f>
        <v>2406</v>
      </c>
      <c r="E182" s="127"/>
      <c r="F182" s="125">
        <f>SUM(F173:F178)</f>
        <v>63018</v>
      </c>
      <c r="G182" s="125">
        <f>SUM(G173:G178)</f>
        <v>2003</v>
      </c>
      <c r="H182" s="128"/>
      <c r="I182" s="129">
        <f>C182+F182</f>
        <v>165289</v>
      </c>
      <c r="J182" s="129">
        <f>D182+G182</f>
        <v>4409</v>
      </c>
      <c r="K182" s="130"/>
    </row>
    <row r="183" spans="2:11" ht="12.75" customHeight="1">
      <c r="B183" s="190" t="s">
        <v>80</v>
      </c>
      <c r="C183" s="100"/>
      <c r="D183" s="100"/>
      <c r="F183" s="100"/>
      <c r="G183" s="100"/>
      <c r="I183" s="155"/>
      <c r="J183" s="155"/>
      <c r="K183" s="156"/>
    </row>
    <row r="184" spans="2:11" ht="12.75" customHeight="1">
      <c r="B184" s="191"/>
      <c r="C184" s="102"/>
      <c r="D184" s="102"/>
      <c r="F184" s="102"/>
      <c r="G184" s="102"/>
      <c r="I184" s="102"/>
      <c r="J184" s="102"/>
    </row>
    <row r="185" spans="2:11" ht="12.75" customHeight="1">
      <c r="B185" s="191"/>
      <c r="C185" s="102"/>
      <c r="D185" s="102"/>
      <c r="F185" s="102"/>
      <c r="G185" s="102"/>
      <c r="I185" s="102"/>
      <c r="J185" s="102"/>
    </row>
    <row r="186" spans="2:11" ht="12.75" customHeight="1">
      <c r="B186" s="75"/>
      <c r="C186" s="75"/>
      <c r="D186" s="75"/>
      <c r="E186" s="75"/>
      <c r="F186" s="75"/>
      <c r="G186" s="75"/>
      <c r="H186" s="75"/>
      <c r="I186" s="75"/>
      <c r="J186" s="75"/>
      <c r="K186" s="75"/>
    </row>
    <row r="187" spans="2:11" ht="12.75" customHeight="1">
      <c r="B187" s="16" t="s">
        <v>98</v>
      </c>
      <c r="C187" s="304" t="s">
        <v>2</v>
      </c>
      <c r="D187" s="304"/>
      <c r="E187" s="305"/>
      <c r="F187" s="306" t="s">
        <v>3</v>
      </c>
      <c r="G187" s="304"/>
      <c r="H187" s="305"/>
      <c r="I187" s="299" t="s">
        <v>4</v>
      </c>
      <c r="J187" s="300"/>
      <c r="K187" s="300"/>
    </row>
    <row r="188" spans="2:11" ht="12.75" customHeight="1">
      <c r="B188" s="83"/>
      <c r="C188" s="132" t="s">
        <v>5</v>
      </c>
      <c r="D188" s="133" t="s">
        <v>6</v>
      </c>
      <c r="E188" s="137" t="s">
        <v>7</v>
      </c>
      <c r="F188" s="134" t="s">
        <v>5</v>
      </c>
      <c r="G188" s="135" t="s">
        <v>6</v>
      </c>
      <c r="H188" s="138" t="s">
        <v>8</v>
      </c>
      <c r="I188" s="136" t="s">
        <v>5</v>
      </c>
      <c r="J188" s="136" t="s">
        <v>6</v>
      </c>
      <c r="K188" s="139" t="s">
        <v>8</v>
      </c>
    </row>
    <row r="189" spans="2:11" ht="12.75" customHeight="1">
      <c r="B189" s="37" t="s">
        <v>9</v>
      </c>
      <c r="C189" s="96">
        <v>19706</v>
      </c>
      <c r="D189" s="97">
        <v>514</v>
      </c>
      <c r="E189" s="40">
        <f t="shared" ref="E189:E194" si="81">C189/D189</f>
        <v>38.338521400778212</v>
      </c>
      <c r="F189" s="103">
        <v>1032</v>
      </c>
      <c r="G189" s="104">
        <v>114</v>
      </c>
      <c r="H189" s="41">
        <f t="shared" ref="H189:H194" si="82">F189/G189</f>
        <v>9.0526315789473681</v>
      </c>
      <c r="I189" s="119">
        <f t="shared" ref="I189:I194" si="83">C189+F189</f>
        <v>20738</v>
      </c>
      <c r="J189" s="119">
        <f>D189+G189</f>
        <v>628</v>
      </c>
      <c r="K189" s="43">
        <f>I189/J189</f>
        <v>33.022292993630572</v>
      </c>
    </row>
    <row r="190" spans="2:11" ht="12.75" customHeight="1">
      <c r="B190" s="45" t="s">
        <v>10</v>
      </c>
      <c r="C190" s="98">
        <v>14626</v>
      </c>
      <c r="D190" s="99">
        <v>278</v>
      </c>
      <c r="E190" s="48">
        <f t="shared" si="81"/>
        <v>52.611510791366904</v>
      </c>
      <c r="F190" s="105">
        <v>864</v>
      </c>
      <c r="G190" s="106">
        <v>49</v>
      </c>
      <c r="H190" s="49">
        <f t="shared" si="82"/>
        <v>17.632653061224488</v>
      </c>
      <c r="I190" s="120">
        <f t="shared" si="83"/>
        <v>15490</v>
      </c>
      <c r="J190" s="120">
        <f t="shared" ref="J190:J194" si="84">D190+G190</f>
        <v>327</v>
      </c>
      <c r="K190" s="51">
        <f t="shared" ref="K190:K194" si="85">I190/J190</f>
        <v>47.370030581039757</v>
      </c>
    </row>
    <row r="191" spans="2:11" ht="12.75" customHeight="1">
      <c r="B191" s="45" t="s">
        <v>11</v>
      </c>
      <c r="C191" s="98">
        <v>8173</v>
      </c>
      <c r="D191" s="99">
        <v>287</v>
      </c>
      <c r="E191" s="48">
        <f t="shared" si="81"/>
        <v>28.477351916376307</v>
      </c>
      <c r="F191" s="105">
        <v>850</v>
      </c>
      <c r="G191" s="106">
        <v>93</v>
      </c>
      <c r="H191" s="49">
        <f t="shared" si="82"/>
        <v>9.1397849462365599</v>
      </c>
      <c r="I191" s="120">
        <f t="shared" si="83"/>
        <v>9023</v>
      </c>
      <c r="J191" s="120">
        <f t="shared" si="84"/>
        <v>380</v>
      </c>
      <c r="K191" s="51">
        <f t="shared" si="85"/>
        <v>23.744736842105262</v>
      </c>
    </row>
    <row r="192" spans="2:11" ht="12.75" customHeight="1">
      <c r="B192" s="45" t="s">
        <v>12</v>
      </c>
      <c r="C192" s="98">
        <v>28717</v>
      </c>
      <c r="D192" s="99">
        <v>730</v>
      </c>
      <c r="E192" s="48">
        <f t="shared" si="81"/>
        <v>39.338356164383562</v>
      </c>
      <c r="F192" s="105">
        <v>2412</v>
      </c>
      <c r="G192" s="106">
        <v>155</v>
      </c>
      <c r="H192" s="49">
        <f t="shared" si="82"/>
        <v>15.561290322580644</v>
      </c>
      <c r="I192" s="120">
        <f t="shared" si="83"/>
        <v>31129</v>
      </c>
      <c r="J192" s="120">
        <f t="shared" si="84"/>
        <v>885</v>
      </c>
      <c r="K192" s="51">
        <f t="shared" si="85"/>
        <v>35.17401129943503</v>
      </c>
    </row>
    <row r="193" spans="2:11" ht="12.75" customHeight="1">
      <c r="B193" s="45" t="s">
        <v>21</v>
      </c>
      <c r="C193" s="98">
        <v>18846</v>
      </c>
      <c r="D193" s="99">
        <v>493</v>
      </c>
      <c r="E193" s="48">
        <f t="shared" si="81"/>
        <v>38.227180527383368</v>
      </c>
      <c r="F193" s="105">
        <v>947</v>
      </c>
      <c r="G193" s="106">
        <v>114</v>
      </c>
      <c r="H193" s="49">
        <f t="shared" si="82"/>
        <v>8.307017543859649</v>
      </c>
      <c r="I193" s="120">
        <f t="shared" si="83"/>
        <v>19793</v>
      </c>
      <c r="J193" s="120">
        <f t="shared" si="84"/>
        <v>607</v>
      </c>
      <c r="K193" s="51">
        <f t="shared" si="85"/>
        <v>32.60790774299835</v>
      </c>
    </row>
    <row r="194" spans="2:11" ht="12.75" customHeight="1">
      <c r="B194" s="45" t="s">
        <v>13</v>
      </c>
      <c r="C194" s="98">
        <v>85770</v>
      </c>
      <c r="D194" s="99">
        <v>2227</v>
      </c>
      <c r="E194" s="48">
        <f t="shared" si="81"/>
        <v>38.5136955545577</v>
      </c>
      <c r="F194" s="105">
        <v>2798</v>
      </c>
      <c r="G194" s="106">
        <v>199</v>
      </c>
      <c r="H194" s="49">
        <f t="shared" si="82"/>
        <v>14.060301507537689</v>
      </c>
      <c r="I194" s="120">
        <f t="shared" si="83"/>
        <v>88568</v>
      </c>
      <c r="J194" s="120">
        <f t="shared" si="84"/>
        <v>2426</v>
      </c>
      <c r="K194" s="51">
        <f t="shared" si="85"/>
        <v>36.507831821929102</v>
      </c>
    </row>
    <row r="195" spans="2:11" ht="12.75" customHeight="1">
      <c r="B195" s="53"/>
      <c r="C195" s="100"/>
      <c r="D195" s="101"/>
      <c r="E195" s="56"/>
      <c r="F195" s="107"/>
      <c r="G195" s="108"/>
      <c r="H195" s="57"/>
      <c r="I195" s="121"/>
      <c r="J195" s="121"/>
      <c r="K195" s="59"/>
    </row>
    <row r="196" spans="2:11" ht="12.75" customHeight="1">
      <c r="B196" s="124" t="s">
        <v>81</v>
      </c>
      <c r="C196" s="125">
        <f>122389+69070</f>
        <v>191459</v>
      </c>
      <c r="D196" s="125">
        <v>4884</v>
      </c>
      <c r="E196" s="127">
        <f>C196/D196</f>
        <v>39.201269451269454</v>
      </c>
      <c r="F196" s="125">
        <v>9443</v>
      </c>
      <c r="G196" s="125">
        <v>771</v>
      </c>
      <c r="H196" s="128">
        <f>F196/G196</f>
        <v>12.247730220492866</v>
      </c>
      <c r="I196" s="129">
        <f>C196+F196</f>
        <v>200902</v>
      </c>
      <c r="J196" s="129">
        <f>D196+G196</f>
        <v>5655</v>
      </c>
      <c r="K196" s="130">
        <f>I196/J196</f>
        <v>35.526436781609192</v>
      </c>
    </row>
    <row r="197" spans="2:11" ht="12.75" customHeight="1">
      <c r="B197" s="182" t="s">
        <v>78</v>
      </c>
      <c r="C197" s="185"/>
      <c r="D197" s="125"/>
      <c r="E197" s="127"/>
      <c r="F197" s="125"/>
      <c r="G197" s="125"/>
      <c r="H197" s="128"/>
      <c r="I197" s="129"/>
      <c r="J197" s="129"/>
      <c r="K197" s="130"/>
    </row>
    <row r="198" spans="2:11" ht="12.75" customHeight="1">
      <c r="B198" s="124" t="s">
        <v>79</v>
      </c>
      <c r="C198" s="185">
        <f>109923+65915</f>
        <v>175838</v>
      </c>
      <c r="D198" s="125">
        <f>SUM(D189:D194)</f>
        <v>4529</v>
      </c>
      <c r="E198" s="127"/>
      <c r="F198" s="125">
        <v>8903</v>
      </c>
      <c r="G198" s="125">
        <f>SUM(G189:G194)</f>
        <v>724</v>
      </c>
      <c r="H198" s="128"/>
      <c r="I198" s="129">
        <f>C198+F198</f>
        <v>184741</v>
      </c>
      <c r="J198" s="129">
        <f>D198+G198</f>
        <v>5253</v>
      </c>
      <c r="K198" s="130"/>
    </row>
    <row r="199" spans="2:11" ht="12.75" customHeight="1">
      <c r="B199" s="186" t="s">
        <v>80</v>
      </c>
      <c r="C199" s="102"/>
      <c r="D199" s="102"/>
      <c r="F199" s="109"/>
      <c r="G199" s="109"/>
      <c r="I199" s="180"/>
      <c r="J199" s="180"/>
    </row>
    <row r="200" spans="2:11" ht="5.45" customHeight="1">
      <c r="B200" s="187"/>
      <c r="C200" s="188"/>
      <c r="D200" s="188"/>
      <c r="E200" s="187"/>
      <c r="F200" s="189"/>
      <c r="G200" s="189"/>
      <c r="H200" s="187"/>
      <c r="I200" s="189"/>
      <c r="J200" s="189"/>
      <c r="K200" s="187"/>
    </row>
    <row r="201" spans="2:11" ht="5.45" customHeight="1">
      <c r="C201" s="102"/>
      <c r="D201" s="102"/>
      <c r="F201" s="109"/>
      <c r="G201" s="109"/>
      <c r="I201" s="109"/>
      <c r="J201" s="109"/>
    </row>
    <row r="202" spans="2:11" ht="12.75" customHeight="1">
      <c r="B202" s="16" t="s">
        <v>98</v>
      </c>
      <c r="C202" s="304" t="s">
        <v>75</v>
      </c>
      <c r="D202" s="304"/>
      <c r="E202" s="305"/>
      <c r="F202" s="306" t="s">
        <v>76</v>
      </c>
      <c r="G202" s="304"/>
      <c r="H202" s="305"/>
      <c r="I202" s="299" t="s">
        <v>77</v>
      </c>
      <c r="J202" s="300"/>
      <c r="K202" s="300"/>
    </row>
    <row r="203" spans="2:11" ht="12.75" customHeight="1">
      <c r="B203" s="83"/>
      <c r="C203" s="132" t="s">
        <v>5</v>
      </c>
      <c r="D203" s="133" t="s">
        <v>6</v>
      </c>
      <c r="E203" s="137" t="s">
        <v>7</v>
      </c>
      <c r="F203" s="134" t="s">
        <v>5</v>
      </c>
      <c r="G203" s="135" t="s">
        <v>6</v>
      </c>
      <c r="H203" s="138" t="s">
        <v>8</v>
      </c>
      <c r="I203" s="136" t="s">
        <v>5</v>
      </c>
      <c r="J203" s="136" t="s">
        <v>6</v>
      </c>
      <c r="K203" s="139" t="s">
        <v>8</v>
      </c>
    </row>
    <row r="204" spans="2:11" ht="12.75" customHeight="1">
      <c r="B204" s="157" t="s">
        <v>9</v>
      </c>
      <c r="C204" s="96">
        <v>9981</v>
      </c>
      <c r="D204" s="97">
        <v>207</v>
      </c>
      <c r="E204" s="158">
        <f t="shared" ref="E204:E209" si="86">C204/D204</f>
        <v>48.217391304347828</v>
      </c>
      <c r="F204" s="96">
        <v>9725</v>
      </c>
      <c r="G204" s="97">
        <v>307</v>
      </c>
      <c r="H204" s="159">
        <f t="shared" ref="H204:H209" si="87">F204/G204</f>
        <v>31.677524429967427</v>
      </c>
      <c r="I204" s="160">
        <f t="shared" ref="I204:I209" si="88">C204+F204</f>
        <v>19706</v>
      </c>
      <c r="J204" s="160">
        <f t="shared" ref="J204:J209" si="89">D204+G204</f>
        <v>514</v>
      </c>
      <c r="K204" s="161">
        <f t="shared" ref="K204:K209" si="90">I204/J204</f>
        <v>38.338521400778212</v>
      </c>
    </row>
    <row r="205" spans="2:11" ht="12.75" customHeight="1">
      <c r="B205" s="162" t="s">
        <v>10</v>
      </c>
      <c r="C205" s="98">
        <v>4826</v>
      </c>
      <c r="D205" s="99">
        <v>64</v>
      </c>
      <c r="E205" s="163">
        <f t="shared" si="86"/>
        <v>75.40625</v>
      </c>
      <c r="F205" s="98">
        <v>9800</v>
      </c>
      <c r="G205" s="99">
        <v>214</v>
      </c>
      <c r="H205" s="164">
        <f t="shared" si="87"/>
        <v>45.794392523364486</v>
      </c>
      <c r="I205" s="165">
        <f t="shared" si="88"/>
        <v>14626</v>
      </c>
      <c r="J205" s="165">
        <f t="shared" si="89"/>
        <v>278</v>
      </c>
      <c r="K205" s="166">
        <f t="shared" si="90"/>
        <v>52.611510791366904</v>
      </c>
    </row>
    <row r="206" spans="2:11" ht="12.75" customHeight="1">
      <c r="B206" s="162" t="s">
        <v>11</v>
      </c>
      <c r="C206" s="98">
        <v>4798</v>
      </c>
      <c r="D206" s="99">
        <v>147</v>
      </c>
      <c r="E206" s="163">
        <f t="shared" si="86"/>
        <v>32.639455782312922</v>
      </c>
      <c r="F206" s="98">
        <v>3375</v>
      </c>
      <c r="G206" s="99">
        <v>140</v>
      </c>
      <c r="H206" s="164">
        <f t="shared" si="87"/>
        <v>24.107142857142858</v>
      </c>
      <c r="I206" s="165">
        <f t="shared" si="88"/>
        <v>8173</v>
      </c>
      <c r="J206" s="165">
        <f t="shared" si="89"/>
        <v>287</v>
      </c>
      <c r="K206" s="166">
        <f t="shared" si="90"/>
        <v>28.477351916376307</v>
      </c>
    </row>
    <row r="207" spans="2:11" ht="12.75" customHeight="1">
      <c r="B207" s="162" t="s">
        <v>12</v>
      </c>
      <c r="C207" s="98">
        <v>13014</v>
      </c>
      <c r="D207" s="99">
        <v>295</v>
      </c>
      <c r="E207" s="163">
        <f t="shared" si="86"/>
        <v>44.115254237288134</v>
      </c>
      <c r="F207" s="98">
        <v>15703</v>
      </c>
      <c r="G207" s="99">
        <v>435</v>
      </c>
      <c r="H207" s="164">
        <f t="shared" si="87"/>
        <v>36.098850574712642</v>
      </c>
      <c r="I207" s="165">
        <f t="shared" si="88"/>
        <v>28717</v>
      </c>
      <c r="J207" s="165">
        <f t="shared" si="89"/>
        <v>730</v>
      </c>
      <c r="K207" s="166">
        <f t="shared" si="90"/>
        <v>39.338356164383562</v>
      </c>
    </row>
    <row r="208" spans="2:11" ht="12.75" customHeight="1">
      <c r="B208" s="162" t="s">
        <v>21</v>
      </c>
      <c r="C208" s="98">
        <v>10766</v>
      </c>
      <c r="D208" s="99">
        <v>258</v>
      </c>
      <c r="E208" s="163">
        <f t="shared" si="86"/>
        <v>41.728682170542633</v>
      </c>
      <c r="F208" s="98">
        <v>8080</v>
      </c>
      <c r="G208" s="99">
        <v>235</v>
      </c>
      <c r="H208" s="164">
        <f t="shared" si="87"/>
        <v>34.382978723404257</v>
      </c>
      <c r="I208" s="165">
        <f t="shared" si="88"/>
        <v>18846</v>
      </c>
      <c r="J208" s="165">
        <f t="shared" si="89"/>
        <v>493</v>
      </c>
      <c r="K208" s="166">
        <f t="shared" si="90"/>
        <v>38.227180527383368</v>
      </c>
    </row>
    <row r="209" spans="2:11" ht="12.75" customHeight="1">
      <c r="B209" s="162" t="s">
        <v>13</v>
      </c>
      <c r="C209" s="98">
        <v>66538</v>
      </c>
      <c r="D209" s="99">
        <v>1557</v>
      </c>
      <c r="E209" s="163">
        <f t="shared" si="86"/>
        <v>42.734746307000641</v>
      </c>
      <c r="F209" s="98">
        <v>19232</v>
      </c>
      <c r="G209" s="99">
        <v>670</v>
      </c>
      <c r="H209" s="164">
        <f t="shared" si="87"/>
        <v>28.704477611940298</v>
      </c>
      <c r="I209" s="165">
        <f t="shared" si="88"/>
        <v>85770</v>
      </c>
      <c r="J209" s="165">
        <f t="shared" si="89"/>
        <v>2227</v>
      </c>
      <c r="K209" s="166">
        <f t="shared" si="90"/>
        <v>38.5136955545577</v>
      </c>
    </row>
    <row r="210" spans="2:11" ht="12.75" customHeight="1">
      <c r="B210" s="167"/>
      <c r="C210" s="100"/>
      <c r="D210" s="101"/>
      <c r="E210" s="168"/>
      <c r="F210" s="100"/>
      <c r="G210" s="101"/>
      <c r="H210" s="169"/>
      <c r="I210" s="155"/>
      <c r="J210" s="155"/>
      <c r="K210" s="170"/>
    </row>
    <row r="211" spans="2:11" ht="12.75" customHeight="1">
      <c r="B211" s="124" t="s">
        <v>81</v>
      </c>
      <c r="C211" s="154">
        <v>122389</v>
      </c>
      <c r="D211" s="125">
        <v>2791</v>
      </c>
      <c r="E211" s="127">
        <f t="shared" ref="E211" si="91">C211/D211</f>
        <v>43.851307774991042</v>
      </c>
      <c r="F211" s="125">
        <v>69070</v>
      </c>
      <c r="G211" s="125">
        <v>2093</v>
      </c>
      <c r="H211" s="128">
        <f t="shared" ref="H211" si="92">F211/G211</f>
        <v>33.000477783086481</v>
      </c>
      <c r="I211" s="129">
        <f t="shared" ref="I211" si="93">C211+F211</f>
        <v>191459</v>
      </c>
      <c r="J211" s="129">
        <f>D211+G211</f>
        <v>4884</v>
      </c>
      <c r="K211" s="130">
        <f t="shared" ref="K211" si="94">I211/J211</f>
        <v>39.201269451269454</v>
      </c>
    </row>
    <row r="212" spans="2:11" ht="12.75" customHeight="1">
      <c r="B212" s="182" t="s">
        <v>78</v>
      </c>
      <c r="C212" s="98"/>
      <c r="D212" s="98"/>
      <c r="E212" s="163"/>
      <c r="F212" s="98"/>
      <c r="G212" s="98"/>
      <c r="H212" s="164"/>
      <c r="I212" s="165"/>
      <c r="J212" s="165"/>
      <c r="K212" s="166"/>
    </row>
    <row r="213" spans="2:11" ht="12.75" customHeight="1">
      <c r="B213" s="124" t="s">
        <v>79</v>
      </c>
      <c r="C213" s="154">
        <f>SUM(C204:C209)</f>
        <v>109923</v>
      </c>
      <c r="D213" s="125">
        <f>SUM(D204:D209)</f>
        <v>2528</v>
      </c>
      <c r="E213" s="127"/>
      <c r="F213" s="125">
        <f>SUM(F204:F209)</f>
        <v>65915</v>
      </c>
      <c r="G213" s="125">
        <f>SUM(G204:G209)</f>
        <v>2001</v>
      </c>
      <c r="H213" s="128"/>
      <c r="I213" s="129">
        <f>C213+F213</f>
        <v>175838</v>
      </c>
      <c r="J213" s="129">
        <f>D213+G213</f>
        <v>4529</v>
      </c>
      <c r="K213" s="130"/>
    </row>
    <row r="214" spans="2:11" ht="12.75" customHeight="1">
      <c r="B214" s="190" t="s">
        <v>80</v>
      </c>
      <c r="C214" s="100"/>
      <c r="D214" s="100"/>
      <c r="F214" s="100"/>
      <c r="G214" s="100"/>
      <c r="I214" s="155"/>
      <c r="J214" s="155"/>
      <c r="K214" s="156"/>
    </row>
    <row r="215" spans="2:11" ht="12.75" customHeight="1">
      <c r="B215" s="191"/>
      <c r="C215" s="102"/>
      <c r="D215" s="102"/>
      <c r="F215" s="102"/>
      <c r="G215" s="102"/>
      <c r="I215" s="102"/>
      <c r="J215" s="102"/>
    </row>
    <row r="216" spans="2:11" ht="12.75" customHeight="1">
      <c r="B216" s="191"/>
      <c r="C216" s="102"/>
      <c r="D216" s="102"/>
      <c r="F216" s="102"/>
      <c r="G216" s="102"/>
      <c r="I216" s="102"/>
      <c r="J216" s="102"/>
    </row>
    <row r="217" spans="2:11" ht="12.75" customHeight="1">
      <c r="B217" s="75"/>
      <c r="C217" s="75"/>
      <c r="D217" s="75"/>
      <c r="E217" s="75"/>
      <c r="F217" s="75"/>
      <c r="G217" s="75"/>
      <c r="H217" s="75"/>
      <c r="I217" s="75"/>
      <c r="J217" s="75"/>
      <c r="K217" s="75"/>
    </row>
    <row r="218" spans="2:11" ht="12.75" customHeight="1">
      <c r="B218" s="16" t="s">
        <v>85</v>
      </c>
      <c r="C218" s="304" t="s">
        <v>2</v>
      </c>
      <c r="D218" s="304"/>
      <c r="E218" s="305"/>
      <c r="F218" s="306" t="s">
        <v>3</v>
      </c>
      <c r="G218" s="304"/>
      <c r="H218" s="305"/>
      <c r="I218" s="299" t="s">
        <v>4</v>
      </c>
      <c r="J218" s="300"/>
      <c r="K218" s="300"/>
    </row>
    <row r="219" spans="2:11" ht="12.75" customHeight="1">
      <c r="B219" s="83"/>
      <c r="C219" s="132" t="s">
        <v>5</v>
      </c>
      <c r="D219" s="133" t="s">
        <v>6</v>
      </c>
      <c r="E219" s="137" t="s">
        <v>7</v>
      </c>
      <c r="F219" s="134" t="s">
        <v>5</v>
      </c>
      <c r="G219" s="135" t="s">
        <v>6</v>
      </c>
      <c r="H219" s="138" t="s">
        <v>8</v>
      </c>
      <c r="I219" s="136" t="s">
        <v>5</v>
      </c>
      <c r="J219" s="136" t="s">
        <v>6</v>
      </c>
      <c r="K219" s="139" t="s">
        <v>8</v>
      </c>
    </row>
    <row r="220" spans="2:11" ht="12.75" customHeight="1">
      <c r="B220" s="37" t="s">
        <v>9</v>
      </c>
      <c r="C220" s="96">
        <v>19917</v>
      </c>
      <c r="D220" s="97">
        <v>497</v>
      </c>
      <c r="E220" s="40">
        <f t="shared" ref="E220:E225" si="95">C220/D220</f>
        <v>40.074446680080484</v>
      </c>
      <c r="F220" s="103">
        <v>1099</v>
      </c>
      <c r="G220" s="104">
        <v>119</v>
      </c>
      <c r="H220" s="41">
        <f t="shared" ref="H220:H225" si="96">F220/G220</f>
        <v>9.235294117647058</v>
      </c>
      <c r="I220" s="119">
        <f t="shared" ref="I220:I225" si="97">C220+F220</f>
        <v>21016</v>
      </c>
      <c r="J220" s="119">
        <f t="shared" ref="J220:J225" si="98">D220+G220</f>
        <v>616</v>
      </c>
      <c r="K220" s="43">
        <f t="shared" ref="K220:K225" si="99">I220/J220</f>
        <v>34.116883116883116</v>
      </c>
    </row>
    <row r="221" spans="2:11" ht="12.75" customHeight="1">
      <c r="B221" s="45" t="s">
        <v>10</v>
      </c>
      <c r="C221" s="98">
        <v>14625</v>
      </c>
      <c r="D221" s="99">
        <v>263</v>
      </c>
      <c r="E221" s="48">
        <f t="shared" si="95"/>
        <v>55.608365019011408</v>
      </c>
      <c r="F221" s="105">
        <v>814</v>
      </c>
      <c r="G221" s="106">
        <v>41</v>
      </c>
      <c r="H221" s="49">
        <f t="shared" si="96"/>
        <v>19.853658536585368</v>
      </c>
      <c r="I221" s="120">
        <f t="shared" si="97"/>
        <v>15439</v>
      </c>
      <c r="J221" s="120">
        <f t="shared" si="98"/>
        <v>304</v>
      </c>
      <c r="K221" s="51">
        <f t="shared" si="99"/>
        <v>50.786184210526315</v>
      </c>
    </row>
    <row r="222" spans="2:11" ht="12.75" customHeight="1">
      <c r="B222" s="45" t="s">
        <v>11</v>
      </c>
      <c r="C222" s="98">
        <v>8748</v>
      </c>
      <c r="D222" s="99">
        <v>300</v>
      </c>
      <c r="E222" s="48">
        <f t="shared" si="95"/>
        <v>29.16</v>
      </c>
      <c r="F222" s="105">
        <v>851</v>
      </c>
      <c r="G222" s="106">
        <v>88</v>
      </c>
      <c r="H222" s="49">
        <f t="shared" si="96"/>
        <v>9.670454545454545</v>
      </c>
      <c r="I222" s="120">
        <f t="shared" si="97"/>
        <v>9599</v>
      </c>
      <c r="J222" s="120">
        <f t="shared" si="98"/>
        <v>388</v>
      </c>
      <c r="K222" s="51">
        <f t="shared" si="99"/>
        <v>24.739690721649485</v>
      </c>
    </row>
    <row r="223" spans="2:11" ht="12.75" customHeight="1">
      <c r="B223" s="45" t="s">
        <v>12</v>
      </c>
      <c r="C223" s="98">
        <v>28626</v>
      </c>
      <c r="D223" s="99">
        <v>726</v>
      </c>
      <c r="E223" s="48">
        <f t="shared" si="95"/>
        <v>39.429752066115704</v>
      </c>
      <c r="F223" s="105">
        <v>2678</v>
      </c>
      <c r="G223" s="106">
        <v>156</v>
      </c>
      <c r="H223" s="49">
        <f t="shared" si="96"/>
        <v>17.166666666666668</v>
      </c>
      <c r="I223" s="120">
        <f t="shared" si="97"/>
        <v>31304</v>
      </c>
      <c r="J223" s="120">
        <f t="shared" si="98"/>
        <v>882</v>
      </c>
      <c r="K223" s="51">
        <f t="shared" si="99"/>
        <v>35.492063492063494</v>
      </c>
    </row>
    <row r="224" spans="2:11" ht="12.75" customHeight="1">
      <c r="B224" s="45" t="s">
        <v>21</v>
      </c>
      <c r="C224" s="98">
        <v>20271</v>
      </c>
      <c r="D224" s="99">
        <v>492</v>
      </c>
      <c r="E224" s="48">
        <f t="shared" si="95"/>
        <v>41.201219512195124</v>
      </c>
      <c r="F224" s="105">
        <v>978</v>
      </c>
      <c r="G224" s="106">
        <v>126</v>
      </c>
      <c r="H224" s="49">
        <f t="shared" si="96"/>
        <v>7.7619047619047619</v>
      </c>
      <c r="I224" s="120">
        <f t="shared" si="97"/>
        <v>21249</v>
      </c>
      <c r="J224" s="120">
        <f t="shared" si="98"/>
        <v>618</v>
      </c>
      <c r="K224" s="51">
        <f t="shared" si="99"/>
        <v>34.383495145631066</v>
      </c>
    </row>
    <row r="225" spans="2:11" ht="12.75" customHeight="1">
      <c r="B225" s="45" t="s">
        <v>13</v>
      </c>
      <c r="C225" s="98">
        <v>90212</v>
      </c>
      <c r="D225" s="99">
        <v>2340</v>
      </c>
      <c r="E225" s="48">
        <f t="shared" si="95"/>
        <v>38.552136752136754</v>
      </c>
      <c r="F225" s="105">
        <v>2959</v>
      </c>
      <c r="G225" s="106">
        <v>200</v>
      </c>
      <c r="H225" s="49">
        <f t="shared" si="96"/>
        <v>14.795</v>
      </c>
      <c r="I225" s="120">
        <f t="shared" si="97"/>
        <v>93171</v>
      </c>
      <c r="J225" s="120">
        <f t="shared" si="98"/>
        <v>2540</v>
      </c>
      <c r="K225" s="51">
        <f t="shared" si="99"/>
        <v>36.681496062992125</v>
      </c>
    </row>
    <row r="226" spans="2:11" ht="12.75" customHeight="1">
      <c r="B226" s="53"/>
      <c r="C226" s="100"/>
      <c r="D226" s="101"/>
      <c r="E226" s="56"/>
      <c r="F226" s="107"/>
      <c r="G226" s="108"/>
      <c r="H226" s="57"/>
      <c r="I226" s="121"/>
      <c r="J226" s="121"/>
      <c r="K226" s="59"/>
    </row>
    <row r="227" spans="2:11" ht="12.75" customHeight="1">
      <c r="B227" s="124" t="s">
        <v>81</v>
      </c>
      <c r="C227" s="125">
        <v>197135</v>
      </c>
      <c r="D227" s="125">
        <v>4956</v>
      </c>
      <c r="E227" s="127">
        <f>C227/D227</f>
        <v>39.777037933817596</v>
      </c>
      <c r="F227" s="125">
        <v>10020</v>
      </c>
      <c r="G227" s="125">
        <v>778</v>
      </c>
      <c r="H227" s="128">
        <f>F227/G227</f>
        <v>12.879177377892031</v>
      </c>
      <c r="I227" s="129">
        <f>C227+F227</f>
        <v>207155</v>
      </c>
      <c r="J227" s="129">
        <f>D227+G227</f>
        <v>5734</v>
      </c>
      <c r="K227" s="130">
        <f>I227/J227</f>
        <v>36.127485176142308</v>
      </c>
    </row>
    <row r="228" spans="2:11" ht="12.75" customHeight="1">
      <c r="B228" s="182" t="s">
        <v>78</v>
      </c>
      <c r="C228" s="185"/>
      <c r="D228" s="125"/>
      <c r="E228" s="127"/>
      <c r="F228" s="125"/>
      <c r="G228" s="125"/>
      <c r="H228" s="128"/>
      <c r="I228" s="129"/>
      <c r="J228" s="129"/>
      <c r="K228" s="130"/>
    </row>
    <row r="229" spans="2:11" ht="12.75" customHeight="1">
      <c r="B229" s="124" t="s">
        <v>79</v>
      </c>
      <c r="C229" s="185">
        <f>SUM(C220:C225)</f>
        <v>182399</v>
      </c>
      <c r="D229" s="125">
        <f>SUM(D220:D225)</f>
        <v>4618</v>
      </c>
      <c r="E229" s="127"/>
      <c r="F229" s="125">
        <f>SUM(F220:F225)</f>
        <v>9379</v>
      </c>
      <c r="G229" s="125">
        <f>SUM(G220:G225)</f>
        <v>730</v>
      </c>
      <c r="H229" s="128"/>
      <c r="I229" s="129">
        <f>C229+F229</f>
        <v>191778</v>
      </c>
      <c r="J229" s="129">
        <f>D229+G229</f>
        <v>5348</v>
      </c>
      <c r="K229" s="130"/>
    </row>
    <row r="230" spans="2:11" ht="12.75" customHeight="1">
      <c r="B230" s="186" t="s">
        <v>80</v>
      </c>
      <c r="C230" s="102"/>
      <c r="D230" s="102"/>
      <c r="F230" s="109"/>
      <c r="G230" s="109"/>
      <c r="I230" s="180"/>
      <c r="J230" s="180"/>
    </row>
    <row r="231" spans="2:11" ht="5.45" customHeight="1">
      <c r="B231" s="187"/>
      <c r="C231" s="188"/>
      <c r="D231" s="188"/>
      <c r="E231" s="187"/>
      <c r="F231" s="189"/>
      <c r="G231" s="189"/>
      <c r="H231" s="187"/>
      <c r="I231" s="189"/>
      <c r="J231" s="189"/>
      <c r="K231" s="187"/>
    </row>
    <row r="232" spans="2:11" ht="5.45" customHeight="1">
      <c r="C232" s="102"/>
      <c r="D232" s="102"/>
      <c r="F232" s="109"/>
      <c r="G232" s="109"/>
      <c r="I232" s="109"/>
      <c r="J232" s="109"/>
    </row>
    <row r="233" spans="2:11" ht="12.75" customHeight="1">
      <c r="B233" s="16" t="s">
        <v>85</v>
      </c>
      <c r="C233" s="304" t="s">
        <v>75</v>
      </c>
      <c r="D233" s="304"/>
      <c r="E233" s="305"/>
      <c r="F233" s="306" t="s">
        <v>76</v>
      </c>
      <c r="G233" s="304"/>
      <c r="H233" s="305"/>
      <c r="I233" s="299" t="s">
        <v>77</v>
      </c>
      <c r="J233" s="300"/>
      <c r="K233" s="300"/>
    </row>
    <row r="234" spans="2:11" ht="12.75" customHeight="1">
      <c r="B234" s="83"/>
      <c r="C234" s="132" t="s">
        <v>5</v>
      </c>
      <c r="D234" s="133" t="s">
        <v>6</v>
      </c>
      <c r="E234" s="137" t="s">
        <v>7</v>
      </c>
      <c r="F234" s="134" t="s">
        <v>5</v>
      </c>
      <c r="G234" s="135" t="s">
        <v>6</v>
      </c>
      <c r="H234" s="138" t="s">
        <v>8</v>
      </c>
      <c r="I234" s="136" t="s">
        <v>5</v>
      </c>
      <c r="J234" s="136" t="s">
        <v>6</v>
      </c>
      <c r="K234" s="139" t="s">
        <v>8</v>
      </c>
    </row>
    <row r="235" spans="2:11" ht="12.75" customHeight="1">
      <c r="B235" s="157" t="s">
        <v>9</v>
      </c>
      <c r="C235" s="96">
        <v>10362</v>
      </c>
      <c r="D235" s="97">
        <v>191</v>
      </c>
      <c r="E235" s="158">
        <f t="shared" ref="E235:E240" si="100">C235/D235</f>
        <v>54.251308900523561</v>
      </c>
      <c r="F235" s="96">
        <v>9555</v>
      </c>
      <c r="G235" s="97">
        <v>306</v>
      </c>
      <c r="H235" s="159">
        <f t="shared" ref="H235:H240" si="101">F235/G235</f>
        <v>31.225490196078432</v>
      </c>
      <c r="I235" s="160">
        <f t="shared" ref="I235:I240" si="102">C235+F235</f>
        <v>19917</v>
      </c>
      <c r="J235" s="160">
        <f t="shared" ref="J235:J240" si="103">D235+G235</f>
        <v>497</v>
      </c>
      <c r="K235" s="161">
        <f t="shared" ref="K235:K240" si="104">I235/J235</f>
        <v>40.074446680080484</v>
      </c>
    </row>
    <row r="236" spans="2:11" ht="12.75" customHeight="1">
      <c r="B236" s="162" t="s">
        <v>10</v>
      </c>
      <c r="C236" s="98">
        <v>5102</v>
      </c>
      <c r="D236" s="99">
        <v>62</v>
      </c>
      <c r="E236" s="163">
        <f t="shared" si="100"/>
        <v>82.290322580645167</v>
      </c>
      <c r="F236" s="98">
        <v>9523</v>
      </c>
      <c r="G236" s="99">
        <v>201</v>
      </c>
      <c r="H236" s="164">
        <f t="shared" si="101"/>
        <v>47.378109452736318</v>
      </c>
      <c r="I236" s="165">
        <f t="shared" si="102"/>
        <v>14625</v>
      </c>
      <c r="J236" s="165">
        <f t="shared" si="103"/>
        <v>263</v>
      </c>
      <c r="K236" s="166">
        <f t="shared" si="104"/>
        <v>55.608365019011408</v>
      </c>
    </row>
    <row r="237" spans="2:11" ht="12.75" customHeight="1">
      <c r="B237" s="162" t="s">
        <v>11</v>
      </c>
      <c r="C237" s="98">
        <v>5143</v>
      </c>
      <c r="D237" s="99">
        <v>149</v>
      </c>
      <c r="E237" s="163">
        <f t="shared" si="100"/>
        <v>34.516778523489933</v>
      </c>
      <c r="F237" s="98">
        <v>3605</v>
      </c>
      <c r="G237" s="99">
        <v>151</v>
      </c>
      <c r="H237" s="164">
        <f t="shared" si="101"/>
        <v>23.874172185430464</v>
      </c>
      <c r="I237" s="165">
        <f t="shared" si="102"/>
        <v>8748</v>
      </c>
      <c r="J237" s="165">
        <f t="shared" si="103"/>
        <v>300</v>
      </c>
      <c r="K237" s="166">
        <f t="shared" si="104"/>
        <v>29.16</v>
      </c>
    </row>
    <row r="238" spans="2:11" ht="12.75" customHeight="1">
      <c r="B238" s="162" t="s">
        <v>12</v>
      </c>
      <c r="C238" s="98">
        <v>13286</v>
      </c>
      <c r="D238" s="99">
        <v>307</v>
      </c>
      <c r="E238" s="163">
        <f t="shared" si="100"/>
        <v>43.276872964169378</v>
      </c>
      <c r="F238" s="98">
        <v>15340</v>
      </c>
      <c r="G238" s="99">
        <v>419</v>
      </c>
      <c r="H238" s="164">
        <f t="shared" si="101"/>
        <v>36.610978520286395</v>
      </c>
      <c r="I238" s="165">
        <f t="shared" si="102"/>
        <v>28626</v>
      </c>
      <c r="J238" s="165">
        <f t="shared" si="103"/>
        <v>726</v>
      </c>
      <c r="K238" s="166">
        <f t="shared" si="104"/>
        <v>39.429752066115704</v>
      </c>
    </row>
    <row r="239" spans="2:11" ht="12.75" customHeight="1">
      <c r="B239" s="162" t="s">
        <v>21</v>
      </c>
      <c r="C239" s="98">
        <v>11705</v>
      </c>
      <c r="D239" s="99">
        <v>257</v>
      </c>
      <c r="E239" s="163">
        <f t="shared" si="100"/>
        <v>45.54474708171206</v>
      </c>
      <c r="F239" s="98">
        <v>8566</v>
      </c>
      <c r="G239" s="99">
        <v>235</v>
      </c>
      <c r="H239" s="164">
        <f t="shared" si="101"/>
        <v>36.451063829787238</v>
      </c>
      <c r="I239" s="165">
        <f t="shared" si="102"/>
        <v>20271</v>
      </c>
      <c r="J239" s="165">
        <f t="shared" si="103"/>
        <v>492</v>
      </c>
      <c r="K239" s="166">
        <f t="shared" si="104"/>
        <v>41.201219512195124</v>
      </c>
    </row>
    <row r="240" spans="2:11" ht="12.75" customHeight="1">
      <c r="B240" s="162" t="s">
        <v>13</v>
      </c>
      <c r="C240" s="98">
        <v>69595</v>
      </c>
      <c r="D240" s="99">
        <f>1584+57</f>
        <v>1641</v>
      </c>
      <c r="E240" s="163">
        <f t="shared" si="100"/>
        <v>42.410115783059112</v>
      </c>
      <c r="F240" s="98">
        <v>20617</v>
      </c>
      <c r="G240" s="99">
        <v>699</v>
      </c>
      <c r="H240" s="164">
        <f t="shared" si="101"/>
        <v>29.494992846924177</v>
      </c>
      <c r="I240" s="165">
        <f t="shared" si="102"/>
        <v>90212</v>
      </c>
      <c r="J240" s="165">
        <f t="shared" si="103"/>
        <v>2340</v>
      </c>
      <c r="K240" s="166">
        <f t="shared" si="104"/>
        <v>38.552136752136754</v>
      </c>
    </row>
    <row r="241" spans="2:11" ht="12.75" customHeight="1">
      <c r="B241" s="167"/>
      <c r="C241" s="100"/>
      <c r="D241" s="101"/>
      <c r="E241" s="168"/>
      <c r="F241" s="100"/>
      <c r="G241" s="101"/>
      <c r="H241" s="169"/>
      <c r="I241" s="155"/>
      <c r="J241" s="155"/>
      <c r="K241" s="170"/>
    </row>
    <row r="242" spans="2:11" ht="12.75" customHeight="1">
      <c r="B242" s="124" t="s">
        <v>81</v>
      </c>
      <c r="C242" s="154">
        <v>126767</v>
      </c>
      <c r="D242" s="125">
        <v>2844</v>
      </c>
      <c r="E242" s="127">
        <f t="shared" ref="E242" si="105">C242/D242</f>
        <v>44.573488045007032</v>
      </c>
      <c r="F242" s="125">
        <v>70368</v>
      </c>
      <c r="G242" s="125">
        <v>2112</v>
      </c>
      <c r="H242" s="128">
        <f t="shared" ref="H242" si="106">F242/G242</f>
        <v>33.31818181818182</v>
      </c>
      <c r="I242" s="129">
        <f t="shared" ref="I242" si="107">C242+F242</f>
        <v>197135</v>
      </c>
      <c r="J242" s="129">
        <f>D242+G242</f>
        <v>4956</v>
      </c>
      <c r="K242" s="130">
        <f t="shared" ref="K242" si="108">I242/J242</f>
        <v>39.777037933817596</v>
      </c>
    </row>
    <row r="243" spans="2:11" ht="12.75" customHeight="1">
      <c r="B243" s="182" t="s">
        <v>78</v>
      </c>
      <c r="C243" s="98"/>
      <c r="D243" s="98"/>
      <c r="E243" s="163"/>
      <c r="F243" s="98"/>
      <c r="G243" s="98"/>
      <c r="H243" s="164"/>
      <c r="I243" s="165"/>
      <c r="J243" s="165"/>
      <c r="K243" s="166"/>
    </row>
    <row r="244" spans="2:11" ht="12.75" customHeight="1">
      <c r="B244" s="124" t="s">
        <v>79</v>
      </c>
      <c r="C244" s="154">
        <f>SUM(C235:C240)</f>
        <v>115193</v>
      </c>
      <c r="D244" s="125">
        <f>SUM(D235:D240)</f>
        <v>2607</v>
      </c>
      <c r="E244" s="127"/>
      <c r="F244" s="125">
        <f>SUM(F235:F240)</f>
        <v>67206</v>
      </c>
      <c r="G244" s="125">
        <f>SUM(G235:G240)</f>
        <v>2011</v>
      </c>
      <c r="H244" s="128"/>
      <c r="I244" s="129">
        <f>C244+F244</f>
        <v>182399</v>
      </c>
      <c r="J244" s="129">
        <f>D244+G244</f>
        <v>4618</v>
      </c>
      <c r="K244" s="130"/>
    </row>
    <row r="245" spans="2:11" ht="12.75" customHeight="1">
      <c r="B245" s="190" t="s">
        <v>80</v>
      </c>
      <c r="C245" s="100"/>
      <c r="D245" s="100"/>
      <c r="F245" s="100"/>
      <c r="G245" s="100"/>
      <c r="I245" s="155"/>
      <c r="J245" s="155"/>
      <c r="K245" s="156"/>
    </row>
    <row r="246" spans="2:11" ht="12.75" customHeight="1">
      <c r="B246" s="191"/>
      <c r="C246" s="102"/>
      <c r="D246" s="102"/>
      <c r="F246" s="102"/>
      <c r="G246" s="102"/>
      <c r="I246" s="102"/>
      <c r="J246" s="102"/>
    </row>
    <row r="247" spans="2:11" ht="12.75" customHeight="1">
      <c r="B247" s="191"/>
      <c r="C247" s="102"/>
      <c r="D247" s="102"/>
      <c r="F247" s="102"/>
      <c r="G247" s="102"/>
      <c r="I247" s="102"/>
      <c r="J247" s="102"/>
    </row>
    <row r="248" spans="2:11" ht="12.75" customHeight="1">
      <c r="B248" s="75"/>
      <c r="C248" s="75"/>
      <c r="D248" s="75"/>
      <c r="E248" s="75"/>
      <c r="F248" s="75"/>
      <c r="G248" s="75"/>
      <c r="H248" s="75"/>
      <c r="I248" s="75"/>
      <c r="J248" s="75"/>
      <c r="K248" s="75"/>
    </row>
    <row r="249" spans="2:11" ht="12.75" customHeight="1">
      <c r="B249" s="16" t="s">
        <v>73</v>
      </c>
      <c r="C249" s="304" t="s">
        <v>2</v>
      </c>
      <c r="D249" s="304"/>
      <c r="E249" s="305"/>
      <c r="F249" s="306" t="s">
        <v>3</v>
      </c>
      <c r="G249" s="304"/>
      <c r="H249" s="305"/>
      <c r="I249" s="299" t="s">
        <v>4</v>
      </c>
      <c r="J249" s="300"/>
      <c r="K249" s="300"/>
    </row>
    <row r="250" spans="2:11" ht="12.75" customHeight="1">
      <c r="B250" s="83"/>
      <c r="C250" s="132" t="s">
        <v>5</v>
      </c>
      <c r="D250" s="133" t="s">
        <v>6</v>
      </c>
      <c r="E250" s="137" t="s">
        <v>7</v>
      </c>
      <c r="F250" s="134" t="s">
        <v>5</v>
      </c>
      <c r="G250" s="135" t="s">
        <v>6</v>
      </c>
      <c r="H250" s="138" t="s">
        <v>8</v>
      </c>
      <c r="I250" s="136" t="s">
        <v>5</v>
      </c>
      <c r="J250" s="136" t="s">
        <v>6</v>
      </c>
      <c r="K250" s="139" t="s">
        <v>8</v>
      </c>
    </row>
    <row r="251" spans="2:11" ht="12.75" customHeight="1">
      <c r="B251" s="37" t="s">
        <v>9</v>
      </c>
      <c r="C251" s="96">
        <v>20698</v>
      </c>
      <c r="D251" s="97">
        <v>517</v>
      </c>
      <c r="E251" s="40">
        <f t="shared" ref="E251:E256" si="109">C251/D251</f>
        <v>40.034816247582206</v>
      </c>
      <c r="F251" s="103">
        <v>1063</v>
      </c>
      <c r="G251" s="104">
        <v>100</v>
      </c>
      <c r="H251" s="41">
        <f t="shared" ref="H251:H256" si="110">F251/G251</f>
        <v>10.63</v>
      </c>
      <c r="I251" s="119">
        <f t="shared" ref="I251:I256" si="111">C251+F251</f>
        <v>21761</v>
      </c>
      <c r="J251" s="119">
        <f t="shared" ref="J251:J256" si="112">D251+G251</f>
        <v>617</v>
      </c>
      <c r="K251" s="43">
        <f t="shared" ref="K251:K256" si="113">I251/J251</f>
        <v>35.269043760129662</v>
      </c>
    </row>
    <row r="252" spans="2:11" ht="12.75" customHeight="1">
      <c r="B252" s="45" t="s">
        <v>10</v>
      </c>
      <c r="C252" s="98">
        <v>13782</v>
      </c>
      <c r="D252" s="99">
        <v>251</v>
      </c>
      <c r="E252" s="48">
        <f t="shared" si="109"/>
        <v>54.908366533864545</v>
      </c>
      <c r="F252" s="105">
        <v>845</v>
      </c>
      <c r="G252" s="106">
        <v>43</v>
      </c>
      <c r="H252" s="49">
        <f t="shared" si="110"/>
        <v>19.651162790697676</v>
      </c>
      <c r="I252" s="120">
        <f t="shared" si="111"/>
        <v>14627</v>
      </c>
      <c r="J252" s="120">
        <f t="shared" si="112"/>
        <v>294</v>
      </c>
      <c r="K252" s="51">
        <f t="shared" si="113"/>
        <v>49.751700680272108</v>
      </c>
    </row>
    <row r="253" spans="2:11" ht="12.75" customHeight="1">
      <c r="B253" s="45" t="s">
        <v>11</v>
      </c>
      <c r="C253" s="98">
        <v>8473</v>
      </c>
      <c r="D253" s="99">
        <v>289</v>
      </c>
      <c r="E253" s="48">
        <f t="shared" si="109"/>
        <v>29.318339100346019</v>
      </c>
      <c r="F253" s="105">
        <v>815</v>
      </c>
      <c r="G253" s="106">
        <v>96</v>
      </c>
      <c r="H253" s="49">
        <f t="shared" si="110"/>
        <v>8.4895833333333339</v>
      </c>
      <c r="I253" s="120">
        <f t="shared" si="111"/>
        <v>9288</v>
      </c>
      <c r="J253" s="120">
        <f t="shared" si="112"/>
        <v>385</v>
      </c>
      <c r="K253" s="51">
        <f t="shared" si="113"/>
        <v>24.124675324675323</v>
      </c>
    </row>
    <row r="254" spans="2:11" ht="12.75" customHeight="1">
      <c r="B254" s="45" t="s">
        <v>12</v>
      </c>
      <c r="C254" s="98">
        <v>28096</v>
      </c>
      <c r="D254" s="99">
        <v>710</v>
      </c>
      <c r="E254" s="48">
        <f t="shared" si="109"/>
        <v>39.57183098591549</v>
      </c>
      <c r="F254" s="105">
        <v>2294</v>
      </c>
      <c r="G254" s="106">
        <v>144</v>
      </c>
      <c r="H254" s="49">
        <f t="shared" si="110"/>
        <v>15.930555555555555</v>
      </c>
      <c r="I254" s="120">
        <f t="shared" si="111"/>
        <v>30390</v>
      </c>
      <c r="J254" s="120">
        <f t="shared" si="112"/>
        <v>854</v>
      </c>
      <c r="K254" s="51">
        <f t="shared" si="113"/>
        <v>35.585480093676814</v>
      </c>
    </row>
    <row r="255" spans="2:11" ht="12.75" customHeight="1">
      <c r="B255" s="45" t="s">
        <v>21</v>
      </c>
      <c r="C255" s="98">
        <v>20705</v>
      </c>
      <c r="D255" s="99">
        <v>475</v>
      </c>
      <c r="E255" s="48">
        <f t="shared" si="109"/>
        <v>43.589473684210525</v>
      </c>
      <c r="F255" s="105">
        <v>1092</v>
      </c>
      <c r="G255" s="106">
        <v>129</v>
      </c>
      <c r="H255" s="49">
        <f t="shared" si="110"/>
        <v>8.4651162790697683</v>
      </c>
      <c r="I255" s="120">
        <f t="shared" si="111"/>
        <v>21797</v>
      </c>
      <c r="J255" s="120">
        <f t="shared" si="112"/>
        <v>604</v>
      </c>
      <c r="K255" s="51">
        <f t="shared" si="113"/>
        <v>36.087748344370858</v>
      </c>
    </row>
    <row r="256" spans="2:11" ht="12.75" customHeight="1">
      <c r="B256" s="45" t="s">
        <v>13</v>
      </c>
      <c r="C256" s="98">
        <v>93258</v>
      </c>
      <c r="D256" s="99">
        <v>2400</v>
      </c>
      <c r="E256" s="48">
        <f t="shared" si="109"/>
        <v>38.857500000000002</v>
      </c>
      <c r="F256" s="105">
        <v>2965</v>
      </c>
      <c r="G256" s="106">
        <v>215</v>
      </c>
      <c r="H256" s="49">
        <f t="shared" si="110"/>
        <v>13.790697674418604</v>
      </c>
      <c r="I256" s="120">
        <f t="shared" si="111"/>
        <v>96223</v>
      </c>
      <c r="J256" s="120">
        <f t="shared" si="112"/>
        <v>2615</v>
      </c>
      <c r="K256" s="51">
        <f t="shared" si="113"/>
        <v>36.796558317399615</v>
      </c>
    </row>
    <row r="257" spans="2:11" ht="12.75" customHeight="1">
      <c r="B257" s="53"/>
      <c r="C257" s="100"/>
      <c r="D257" s="101"/>
      <c r="E257" s="56"/>
      <c r="F257" s="107"/>
      <c r="G257" s="108"/>
      <c r="H257" s="57"/>
      <c r="I257" s="121"/>
      <c r="J257" s="121"/>
      <c r="K257" s="59"/>
    </row>
    <row r="258" spans="2:11" ht="12.75" customHeight="1">
      <c r="B258" s="124" t="s">
        <v>81</v>
      </c>
      <c r="C258" s="125">
        <v>200223</v>
      </c>
      <c r="D258" s="125">
        <v>5001</v>
      </c>
      <c r="E258" s="127">
        <f>C258/D258</f>
        <v>40.036592681463709</v>
      </c>
      <c r="F258" s="125">
        <v>9722</v>
      </c>
      <c r="G258" s="125">
        <v>775</v>
      </c>
      <c r="H258" s="128">
        <f>F258/G258</f>
        <v>12.544516129032258</v>
      </c>
      <c r="I258" s="129">
        <f>C258+F258</f>
        <v>209945</v>
      </c>
      <c r="J258" s="129">
        <f>D258+G258</f>
        <v>5776</v>
      </c>
      <c r="K258" s="130">
        <f>I258/J258</f>
        <v>36.347818559556785</v>
      </c>
    </row>
    <row r="259" spans="2:11" ht="12.75" customHeight="1">
      <c r="B259" s="182" t="s">
        <v>78</v>
      </c>
      <c r="C259" s="185"/>
      <c r="D259" s="125"/>
      <c r="E259" s="127"/>
      <c r="F259" s="125"/>
      <c r="G259" s="125"/>
      <c r="H259" s="128"/>
      <c r="I259" s="129"/>
      <c r="J259" s="129"/>
      <c r="K259" s="130"/>
    </row>
    <row r="260" spans="2:11" ht="12.75" customHeight="1">
      <c r="B260" s="124" t="s">
        <v>79</v>
      </c>
      <c r="C260" s="185">
        <f>SUM(C251:C256)</f>
        <v>185012</v>
      </c>
      <c r="D260" s="125">
        <f>SUM(D251:D256)</f>
        <v>4642</v>
      </c>
      <c r="E260" s="127"/>
      <c r="F260" s="125">
        <f>SUM(F251:F256)</f>
        <v>9074</v>
      </c>
      <c r="G260" s="125">
        <f>SUM(G251:G256)</f>
        <v>727</v>
      </c>
      <c r="H260" s="128"/>
      <c r="I260" s="129">
        <f>C260+F260</f>
        <v>194086</v>
      </c>
      <c r="J260" s="129">
        <f>D260+G260</f>
        <v>5369</v>
      </c>
      <c r="K260" s="130"/>
    </row>
    <row r="261" spans="2:11" ht="12.75" customHeight="1">
      <c r="B261" s="186" t="s">
        <v>80</v>
      </c>
      <c r="C261" s="102"/>
      <c r="D261" s="102"/>
      <c r="F261" s="109"/>
      <c r="G261" s="109"/>
      <c r="I261" s="180"/>
      <c r="J261" s="180"/>
    </row>
    <row r="262" spans="2:11" ht="5.45" customHeight="1">
      <c r="B262" s="187"/>
      <c r="C262" s="188"/>
      <c r="D262" s="188"/>
      <c r="E262" s="187"/>
      <c r="F262" s="189"/>
      <c r="G262" s="189"/>
      <c r="H262" s="187"/>
      <c r="I262" s="189"/>
      <c r="J262" s="189"/>
      <c r="K262" s="187"/>
    </row>
    <row r="263" spans="2:11" ht="5.45" customHeight="1">
      <c r="C263" s="102"/>
      <c r="D263" s="102"/>
      <c r="F263" s="109"/>
      <c r="G263" s="109"/>
      <c r="I263" s="109"/>
      <c r="J263" s="109"/>
    </row>
    <row r="264" spans="2:11" ht="12.75" customHeight="1">
      <c r="B264" s="16" t="s">
        <v>73</v>
      </c>
      <c r="C264" s="304" t="s">
        <v>75</v>
      </c>
      <c r="D264" s="304"/>
      <c r="E264" s="305"/>
      <c r="F264" s="306" t="s">
        <v>76</v>
      </c>
      <c r="G264" s="304"/>
      <c r="H264" s="305"/>
      <c r="I264" s="299" t="s">
        <v>77</v>
      </c>
      <c r="J264" s="300"/>
      <c r="K264" s="300"/>
    </row>
    <row r="265" spans="2:11" ht="12.75" customHeight="1">
      <c r="B265" s="83"/>
      <c r="C265" s="132" t="s">
        <v>5</v>
      </c>
      <c r="D265" s="133" t="s">
        <v>6</v>
      </c>
      <c r="E265" s="137" t="s">
        <v>7</v>
      </c>
      <c r="F265" s="134" t="s">
        <v>5</v>
      </c>
      <c r="G265" s="135" t="s">
        <v>6</v>
      </c>
      <c r="H265" s="138" t="s">
        <v>8</v>
      </c>
      <c r="I265" s="136" t="s">
        <v>5</v>
      </c>
      <c r="J265" s="136" t="s">
        <v>6</v>
      </c>
      <c r="K265" s="139" t="s">
        <v>8</v>
      </c>
    </row>
    <row r="266" spans="2:11" ht="12.75" customHeight="1">
      <c r="B266" s="157" t="s">
        <v>9</v>
      </c>
      <c r="C266" s="96">
        <v>11127</v>
      </c>
      <c r="D266" s="97">
        <v>214</v>
      </c>
      <c r="E266" s="158">
        <f t="shared" ref="E266:E273" si="114">C266/D266</f>
        <v>51.995327102803735</v>
      </c>
      <c r="F266" s="96">
        <v>9571</v>
      </c>
      <c r="G266" s="97">
        <v>303</v>
      </c>
      <c r="H266" s="159">
        <f t="shared" ref="H266:H273" si="115">F266/G266</f>
        <v>31.587458745874589</v>
      </c>
      <c r="I266" s="160">
        <f t="shared" ref="I266:J271" si="116">C266+F266</f>
        <v>20698</v>
      </c>
      <c r="J266" s="160">
        <f t="shared" si="116"/>
        <v>517</v>
      </c>
      <c r="K266" s="161">
        <f t="shared" ref="K266:K271" si="117">I266/J266</f>
        <v>40.034816247582206</v>
      </c>
    </row>
    <row r="267" spans="2:11" ht="12.75" customHeight="1">
      <c r="B267" s="162" t="s">
        <v>10</v>
      </c>
      <c r="C267" s="98">
        <v>4898</v>
      </c>
      <c r="D267" s="99">
        <v>61</v>
      </c>
      <c r="E267" s="163">
        <f t="shared" si="114"/>
        <v>80.295081967213122</v>
      </c>
      <c r="F267" s="98">
        <v>8884</v>
      </c>
      <c r="G267" s="99">
        <v>190</v>
      </c>
      <c r="H267" s="164">
        <f t="shared" si="115"/>
        <v>46.757894736842104</v>
      </c>
      <c r="I267" s="165">
        <f t="shared" si="116"/>
        <v>13782</v>
      </c>
      <c r="J267" s="165">
        <f t="shared" si="116"/>
        <v>251</v>
      </c>
      <c r="K267" s="166">
        <f t="shared" si="117"/>
        <v>54.908366533864545</v>
      </c>
    </row>
    <row r="268" spans="2:11" ht="12.75" customHeight="1">
      <c r="B268" s="162" t="s">
        <v>11</v>
      </c>
      <c r="C268" s="98">
        <v>5111</v>
      </c>
      <c r="D268" s="99">
        <v>145</v>
      </c>
      <c r="E268" s="163">
        <f t="shared" si="114"/>
        <v>35.248275862068965</v>
      </c>
      <c r="F268" s="98">
        <v>3362</v>
      </c>
      <c r="G268" s="99">
        <v>144</v>
      </c>
      <c r="H268" s="164">
        <f t="shared" si="115"/>
        <v>23.347222222222221</v>
      </c>
      <c r="I268" s="165">
        <f t="shared" si="116"/>
        <v>8473</v>
      </c>
      <c r="J268" s="165">
        <f t="shared" si="116"/>
        <v>289</v>
      </c>
      <c r="K268" s="166">
        <f t="shared" si="117"/>
        <v>29.318339100346019</v>
      </c>
    </row>
    <row r="269" spans="2:11" ht="12.75" customHeight="1">
      <c r="B269" s="162" t="s">
        <v>12</v>
      </c>
      <c r="C269" s="98">
        <v>13715</v>
      </c>
      <c r="D269" s="99">
        <v>317</v>
      </c>
      <c r="E269" s="163">
        <f t="shared" si="114"/>
        <v>43.264984227129339</v>
      </c>
      <c r="F269" s="98">
        <v>14381</v>
      </c>
      <c r="G269" s="99">
        <v>393</v>
      </c>
      <c r="H269" s="164">
        <f t="shared" si="115"/>
        <v>36.592875318066156</v>
      </c>
      <c r="I269" s="165">
        <f t="shared" si="116"/>
        <v>28096</v>
      </c>
      <c r="J269" s="165">
        <f t="shared" si="116"/>
        <v>710</v>
      </c>
      <c r="K269" s="166">
        <f t="shared" si="117"/>
        <v>39.57183098591549</v>
      </c>
    </row>
    <row r="270" spans="2:11" ht="12.75" customHeight="1">
      <c r="B270" s="162" t="s">
        <v>21</v>
      </c>
      <c r="C270" s="98">
        <v>11864</v>
      </c>
      <c r="D270" s="99">
        <v>244</v>
      </c>
      <c r="E270" s="163">
        <f t="shared" si="114"/>
        <v>48.622950819672134</v>
      </c>
      <c r="F270" s="98">
        <v>8841</v>
      </c>
      <c r="G270" s="99">
        <v>231</v>
      </c>
      <c r="H270" s="164">
        <f t="shared" si="115"/>
        <v>38.272727272727273</v>
      </c>
      <c r="I270" s="165">
        <f t="shared" si="116"/>
        <v>20705</v>
      </c>
      <c r="J270" s="165">
        <f t="shared" si="116"/>
        <v>475</v>
      </c>
      <c r="K270" s="166">
        <f t="shared" si="117"/>
        <v>43.589473684210525</v>
      </c>
    </row>
    <row r="271" spans="2:11" ht="12.75" customHeight="1">
      <c r="B271" s="162" t="s">
        <v>13</v>
      </c>
      <c r="C271" s="98">
        <v>72845</v>
      </c>
      <c r="D271" s="99">
        <v>1703</v>
      </c>
      <c r="E271" s="163">
        <f t="shared" si="114"/>
        <v>42.7745155607751</v>
      </c>
      <c r="F271" s="98">
        <v>20413</v>
      </c>
      <c r="G271" s="99">
        <v>697</v>
      </c>
      <c r="H271" s="164">
        <f t="shared" si="115"/>
        <v>29.286944045911046</v>
      </c>
      <c r="I271" s="165">
        <f t="shared" si="116"/>
        <v>93258</v>
      </c>
      <c r="J271" s="165">
        <f t="shared" si="116"/>
        <v>2400</v>
      </c>
      <c r="K271" s="166">
        <f t="shared" si="117"/>
        <v>38.857500000000002</v>
      </c>
    </row>
    <row r="272" spans="2:11" ht="12.75" customHeight="1">
      <c r="B272" s="167"/>
      <c r="C272" s="100"/>
      <c r="D272" s="101"/>
      <c r="E272" s="168"/>
      <c r="F272" s="100"/>
      <c r="G272" s="101"/>
      <c r="H272" s="169"/>
      <c r="I272" s="155"/>
      <c r="J272" s="155"/>
      <c r="K272" s="170"/>
    </row>
    <row r="273" spans="2:11" ht="12.75" customHeight="1">
      <c r="B273" s="124" t="s">
        <v>81</v>
      </c>
      <c r="C273" s="154">
        <v>131549</v>
      </c>
      <c r="D273" s="125">
        <v>2938</v>
      </c>
      <c r="E273" s="127">
        <f t="shared" si="114"/>
        <v>44.775017018379849</v>
      </c>
      <c r="F273" s="125">
        <v>68674</v>
      </c>
      <c r="G273" s="125">
        <v>2063</v>
      </c>
      <c r="H273" s="128">
        <f t="shared" si="115"/>
        <v>33.288414929714008</v>
      </c>
      <c r="I273" s="129">
        <f t="shared" ref="I273" si="118">C273+F273</f>
        <v>200223</v>
      </c>
      <c r="J273" s="129">
        <f t="shared" ref="J273" si="119">D273+G273</f>
        <v>5001</v>
      </c>
      <c r="K273" s="130">
        <f t="shared" ref="K273" si="120">I273/J273</f>
        <v>40.036592681463709</v>
      </c>
    </row>
    <row r="274" spans="2:11" ht="12.75" customHeight="1">
      <c r="B274" s="182" t="s">
        <v>78</v>
      </c>
      <c r="C274" s="98"/>
      <c r="D274" s="98"/>
      <c r="E274" s="163"/>
      <c r="F274" s="98"/>
      <c r="G274" s="98"/>
      <c r="H274" s="164"/>
      <c r="I274" s="165"/>
      <c r="J274" s="165"/>
      <c r="K274" s="166"/>
    </row>
    <row r="275" spans="2:11" ht="12.75" customHeight="1">
      <c r="B275" s="124" t="s">
        <v>79</v>
      </c>
      <c r="C275" s="154">
        <f>SUM(C266:C271)</f>
        <v>119560</v>
      </c>
      <c r="D275" s="125">
        <f>SUM(D266:D271)</f>
        <v>2684</v>
      </c>
      <c r="E275" s="127"/>
      <c r="F275" s="125">
        <f>SUM(F266:F271)</f>
        <v>65452</v>
      </c>
      <c r="G275" s="125">
        <f>SUM(G266:G271)</f>
        <v>1958</v>
      </c>
      <c r="H275" s="128"/>
      <c r="I275" s="129">
        <f>C275+F275</f>
        <v>185012</v>
      </c>
      <c r="J275" s="129">
        <f>D275+G275</f>
        <v>4642</v>
      </c>
      <c r="K275" s="130"/>
    </row>
    <row r="276" spans="2:11" ht="12.75" customHeight="1">
      <c r="B276" s="190" t="s">
        <v>80</v>
      </c>
      <c r="C276" s="100"/>
      <c r="D276" s="100"/>
      <c r="F276" s="100"/>
      <c r="G276" s="100"/>
      <c r="I276" s="155"/>
      <c r="J276" s="155"/>
      <c r="K276" s="156"/>
    </row>
    <row r="277" spans="2:11" ht="12.75" customHeight="1">
      <c r="B277" s="191"/>
      <c r="C277" s="102"/>
      <c r="D277" s="102"/>
      <c r="F277" s="102"/>
      <c r="G277" s="102"/>
      <c r="I277" s="102"/>
      <c r="J277" s="102"/>
    </row>
    <row r="278" spans="2:11" ht="12.75" customHeight="1">
      <c r="B278" s="191"/>
      <c r="C278" s="102"/>
      <c r="D278" s="102"/>
      <c r="F278" s="102"/>
      <c r="G278" s="102"/>
      <c r="I278" s="102"/>
      <c r="J278" s="102"/>
    </row>
    <row r="279" spans="2:11" ht="12.75" customHeight="1">
      <c r="B279" s="75"/>
      <c r="C279" s="75"/>
      <c r="D279" s="75"/>
      <c r="E279" s="75"/>
      <c r="F279" s="75"/>
      <c r="G279" s="75"/>
      <c r="H279" s="75"/>
      <c r="I279" s="75"/>
      <c r="J279" s="75"/>
      <c r="K279" s="75"/>
    </row>
    <row r="280" spans="2:11" ht="12.75" customHeight="1">
      <c r="B280" s="16" t="s">
        <v>70</v>
      </c>
      <c r="C280" s="304" t="s">
        <v>2</v>
      </c>
      <c r="D280" s="304"/>
      <c r="E280" s="305"/>
      <c r="F280" s="306" t="s">
        <v>3</v>
      </c>
      <c r="G280" s="304"/>
      <c r="H280" s="305"/>
      <c r="I280" s="299" t="s">
        <v>4</v>
      </c>
      <c r="J280" s="300"/>
      <c r="K280" s="300"/>
    </row>
    <row r="281" spans="2:11" ht="12.75" customHeight="1">
      <c r="B281" s="83"/>
      <c r="C281" s="132" t="s">
        <v>5</v>
      </c>
      <c r="D281" s="133" t="s">
        <v>6</v>
      </c>
      <c r="E281" s="137" t="s">
        <v>7</v>
      </c>
      <c r="F281" s="134" t="s">
        <v>5</v>
      </c>
      <c r="G281" s="135" t="s">
        <v>6</v>
      </c>
      <c r="H281" s="138" t="s">
        <v>8</v>
      </c>
      <c r="I281" s="136" t="s">
        <v>5</v>
      </c>
      <c r="J281" s="136" t="s">
        <v>6</v>
      </c>
      <c r="K281" s="139" t="s">
        <v>8</v>
      </c>
    </row>
    <row r="282" spans="2:11" ht="12.75" customHeight="1">
      <c r="B282" s="37" t="s">
        <v>9</v>
      </c>
      <c r="C282" s="96">
        <v>20358</v>
      </c>
      <c r="D282" s="97">
        <v>502</v>
      </c>
      <c r="E282" s="40">
        <f t="shared" ref="E282:E287" si="121">C282/D282</f>
        <v>40.553784860557769</v>
      </c>
      <c r="F282" s="103">
        <v>1265</v>
      </c>
      <c r="G282" s="104">
        <v>129</v>
      </c>
      <c r="H282" s="41">
        <f t="shared" ref="H282:H287" si="122">F282/G282</f>
        <v>9.8062015503875966</v>
      </c>
      <c r="I282" s="119">
        <f t="shared" ref="I282:I287" si="123">C282+F282</f>
        <v>21623</v>
      </c>
      <c r="J282" s="119">
        <f t="shared" ref="J282:J287" si="124">D282+G282</f>
        <v>631</v>
      </c>
      <c r="K282" s="43">
        <f t="shared" ref="K282:K287" si="125">I282/J282</f>
        <v>34.26782884310618</v>
      </c>
    </row>
    <row r="283" spans="2:11" ht="12.75" customHeight="1">
      <c r="B283" s="45" t="s">
        <v>10</v>
      </c>
      <c r="C283" s="98">
        <v>13029</v>
      </c>
      <c r="D283" s="99">
        <v>238</v>
      </c>
      <c r="E283" s="48">
        <f t="shared" si="121"/>
        <v>54.743697478991599</v>
      </c>
      <c r="F283" s="105">
        <v>895</v>
      </c>
      <c r="G283" s="106">
        <v>41</v>
      </c>
      <c r="H283" s="49">
        <f t="shared" si="122"/>
        <v>21.829268292682926</v>
      </c>
      <c r="I283" s="120">
        <f t="shared" si="123"/>
        <v>13924</v>
      </c>
      <c r="J283" s="120">
        <f t="shared" si="124"/>
        <v>279</v>
      </c>
      <c r="K283" s="51">
        <f t="shared" si="125"/>
        <v>49.906810035842291</v>
      </c>
    </row>
    <row r="284" spans="2:11" ht="12.75" customHeight="1">
      <c r="B284" s="45" t="s">
        <v>11</v>
      </c>
      <c r="C284" s="98">
        <v>8344</v>
      </c>
      <c r="D284" s="99">
        <v>281</v>
      </c>
      <c r="E284" s="48">
        <f t="shared" si="121"/>
        <v>29.693950177935942</v>
      </c>
      <c r="F284" s="105">
        <v>901</v>
      </c>
      <c r="G284" s="106">
        <v>93</v>
      </c>
      <c r="H284" s="49">
        <f t="shared" si="122"/>
        <v>9.6881720430107521</v>
      </c>
      <c r="I284" s="120">
        <f t="shared" si="123"/>
        <v>9245</v>
      </c>
      <c r="J284" s="120">
        <f t="shared" si="124"/>
        <v>374</v>
      </c>
      <c r="K284" s="51">
        <f t="shared" si="125"/>
        <v>24.719251336898395</v>
      </c>
    </row>
    <row r="285" spans="2:11" ht="12.75" customHeight="1">
      <c r="B285" s="45" t="s">
        <v>12</v>
      </c>
      <c r="C285" s="98">
        <v>27078</v>
      </c>
      <c r="D285" s="99">
        <v>681</v>
      </c>
      <c r="E285" s="48">
        <f t="shared" si="121"/>
        <v>39.762114537444937</v>
      </c>
      <c r="F285" s="105">
        <v>2505</v>
      </c>
      <c r="G285" s="106">
        <v>152</v>
      </c>
      <c r="H285" s="49">
        <f t="shared" si="122"/>
        <v>16.480263157894736</v>
      </c>
      <c r="I285" s="120">
        <f t="shared" si="123"/>
        <v>29583</v>
      </c>
      <c r="J285" s="120">
        <f t="shared" si="124"/>
        <v>833</v>
      </c>
      <c r="K285" s="51">
        <f t="shared" si="125"/>
        <v>35.513805522208884</v>
      </c>
    </row>
    <row r="286" spans="2:11" ht="12.75" customHeight="1">
      <c r="B286" s="45" t="s">
        <v>21</v>
      </c>
      <c r="C286" s="98">
        <v>20762</v>
      </c>
      <c r="D286" s="99">
        <v>462</v>
      </c>
      <c r="E286" s="48">
        <f t="shared" si="121"/>
        <v>44.939393939393938</v>
      </c>
      <c r="F286" s="105">
        <v>1166</v>
      </c>
      <c r="G286" s="106">
        <v>139</v>
      </c>
      <c r="H286" s="49">
        <f t="shared" si="122"/>
        <v>8.3884892086330929</v>
      </c>
      <c r="I286" s="120">
        <f t="shared" si="123"/>
        <v>21928</v>
      </c>
      <c r="J286" s="120">
        <f t="shared" si="124"/>
        <v>601</v>
      </c>
      <c r="K286" s="51">
        <f t="shared" si="125"/>
        <v>36.485856905158073</v>
      </c>
    </row>
    <row r="287" spans="2:11" ht="12.75" customHeight="1">
      <c r="B287" s="45" t="s">
        <v>13</v>
      </c>
      <c r="C287" s="98">
        <v>91292</v>
      </c>
      <c r="D287" s="99">
        <v>2396</v>
      </c>
      <c r="E287" s="48">
        <f t="shared" si="121"/>
        <v>38.101836393989984</v>
      </c>
      <c r="F287" s="105">
        <v>2993</v>
      </c>
      <c r="G287" s="106">
        <v>207</v>
      </c>
      <c r="H287" s="49">
        <f t="shared" si="122"/>
        <v>14.458937198067632</v>
      </c>
      <c r="I287" s="120">
        <f t="shared" si="123"/>
        <v>94285</v>
      </c>
      <c r="J287" s="120">
        <f t="shared" si="124"/>
        <v>2603</v>
      </c>
      <c r="K287" s="51">
        <f t="shared" si="125"/>
        <v>36.221667306953513</v>
      </c>
    </row>
    <row r="288" spans="2:11" ht="12.75" customHeight="1">
      <c r="B288" s="53"/>
      <c r="C288" s="100"/>
      <c r="D288" s="101"/>
      <c r="E288" s="56"/>
      <c r="F288" s="107"/>
      <c r="G288" s="108"/>
      <c r="H288" s="57"/>
      <c r="I288" s="121"/>
      <c r="J288" s="121"/>
      <c r="K288" s="59"/>
    </row>
    <row r="289" spans="2:11" ht="12.75" customHeight="1">
      <c r="B289" s="124" t="s">
        <v>84</v>
      </c>
      <c r="C289" s="125">
        <v>195469</v>
      </c>
      <c r="D289" s="125">
        <v>4914</v>
      </c>
      <c r="E289" s="127">
        <f>C289/D289</f>
        <v>39.777981277981276</v>
      </c>
      <c r="F289" s="125">
        <v>10484</v>
      </c>
      <c r="G289" s="125">
        <v>814</v>
      </c>
      <c r="H289" s="128">
        <f>F289/G289</f>
        <v>12.879606879606879</v>
      </c>
      <c r="I289" s="129">
        <f>C289+F289</f>
        <v>205953</v>
      </c>
      <c r="J289" s="129">
        <f>D289+G289</f>
        <v>5728</v>
      </c>
      <c r="K289" s="130">
        <f>I289/J289</f>
        <v>35.95548184357542</v>
      </c>
    </row>
    <row r="290" spans="2:11" s="192" customFormat="1" ht="12.75" customHeight="1">
      <c r="B290" s="181" t="s">
        <v>78</v>
      </c>
      <c r="C290" s="193"/>
      <c r="D290" s="193"/>
      <c r="E290" s="194"/>
      <c r="F290" s="193"/>
      <c r="G290" s="193"/>
      <c r="H290" s="195"/>
      <c r="I290" s="196"/>
      <c r="J290" s="196"/>
      <c r="K290" s="197"/>
    </row>
    <row r="291" spans="2:11" ht="12.75" customHeight="1">
      <c r="B291" s="124" t="s">
        <v>83</v>
      </c>
      <c r="C291" s="125">
        <v>180863</v>
      </c>
      <c r="D291" s="125">
        <v>4560</v>
      </c>
      <c r="E291" s="127"/>
      <c r="F291" s="125">
        <v>9725</v>
      </c>
      <c r="G291" s="125">
        <v>761</v>
      </c>
      <c r="H291" s="128"/>
      <c r="I291" s="129">
        <v>190588</v>
      </c>
      <c r="J291" s="129">
        <v>5321</v>
      </c>
      <c r="K291" s="130"/>
    </row>
    <row r="292" spans="2:11" ht="12.75" customHeight="1">
      <c r="B292" s="190" t="s">
        <v>80</v>
      </c>
      <c r="C292" s="102"/>
      <c r="D292" s="102"/>
      <c r="F292" s="109"/>
      <c r="G292" s="109"/>
      <c r="I292" s="109"/>
      <c r="J292" s="109"/>
    </row>
    <row r="293" spans="2:11" ht="7.35" customHeight="1">
      <c r="B293" s="206"/>
      <c r="C293" s="188"/>
      <c r="D293" s="188"/>
      <c r="E293" s="187"/>
      <c r="F293" s="189"/>
      <c r="G293" s="189"/>
      <c r="H293" s="187"/>
      <c r="I293" s="189"/>
      <c r="J293" s="189"/>
      <c r="K293" s="187"/>
    </row>
    <row r="294" spans="2:11" ht="7.35" customHeight="1">
      <c r="C294" s="102"/>
      <c r="D294" s="102"/>
      <c r="F294" s="109"/>
      <c r="G294" s="109"/>
      <c r="I294" s="109"/>
      <c r="J294" s="109"/>
    </row>
    <row r="295" spans="2:11" ht="12.75" customHeight="1">
      <c r="B295" s="16" t="s">
        <v>70</v>
      </c>
      <c r="C295" s="304" t="s">
        <v>75</v>
      </c>
      <c r="D295" s="304"/>
      <c r="E295" s="305"/>
      <c r="F295" s="306" t="s">
        <v>76</v>
      </c>
      <c r="G295" s="304"/>
      <c r="H295" s="305"/>
      <c r="I295" s="299" t="s">
        <v>77</v>
      </c>
      <c r="J295" s="300"/>
      <c r="K295" s="300"/>
    </row>
    <row r="296" spans="2:11" ht="12.75" customHeight="1">
      <c r="B296" s="83"/>
      <c r="C296" s="132" t="s">
        <v>5</v>
      </c>
      <c r="D296" s="133" t="s">
        <v>6</v>
      </c>
      <c r="E296" s="137" t="s">
        <v>7</v>
      </c>
      <c r="F296" s="134" t="s">
        <v>5</v>
      </c>
      <c r="G296" s="135" t="s">
        <v>6</v>
      </c>
      <c r="H296" s="138" t="s">
        <v>8</v>
      </c>
      <c r="I296" s="136" t="s">
        <v>5</v>
      </c>
      <c r="J296" s="136" t="s">
        <v>6</v>
      </c>
      <c r="K296" s="139" t="s">
        <v>8</v>
      </c>
    </row>
    <row r="297" spans="2:11" ht="12.75" customHeight="1">
      <c r="B297" s="157" t="s">
        <v>9</v>
      </c>
      <c r="C297" s="96">
        <v>11257</v>
      </c>
      <c r="D297" s="97">
        <v>213</v>
      </c>
      <c r="E297" s="158">
        <f t="shared" ref="E297:E304" si="126">C297/D297</f>
        <v>52.84976525821596</v>
      </c>
      <c r="F297" s="96">
        <v>9101</v>
      </c>
      <c r="G297" s="97">
        <v>289</v>
      </c>
      <c r="H297" s="159">
        <f t="shared" ref="H297:H304" si="127">F297/G297</f>
        <v>31.491349480968857</v>
      </c>
      <c r="I297" s="160">
        <f t="shared" ref="I297:J302" si="128">C297+F297</f>
        <v>20358</v>
      </c>
      <c r="J297" s="160">
        <f t="shared" si="128"/>
        <v>502</v>
      </c>
      <c r="K297" s="161">
        <f t="shared" ref="K297:K304" si="129">I297/J297</f>
        <v>40.553784860557769</v>
      </c>
    </row>
    <row r="298" spans="2:11" ht="12.75" customHeight="1">
      <c r="B298" s="162" t="s">
        <v>10</v>
      </c>
      <c r="C298" s="98">
        <v>4906</v>
      </c>
      <c r="D298" s="99">
        <v>59</v>
      </c>
      <c r="E298" s="163">
        <f t="shared" si="126"/>
        <v>83.152542372881356</v>
      </c>
      <c r="F298" s="98">
        <v>8123</v>
      </c>
      <c r="G298" s="99">
        <v>179</v>
      </c>
      <c r="H298" s="164">
        <f t="shared" si="127"/>
        <v>45.379888268156428</v>
      </c>
      <c r="I298" s="165">
        <f t="shared" si="128"/>
        <v>13029</v>
      </c>
      <c r="J298" s="165">
        <f t="shared" si="128"/>
        <v>238</v>
      </c>
      <c r="K298" s="166">
        <f t="shared" si="129"/>
        <v>54.743697478991599</v>
      </c>
    </row>
    <row r="299" spans="2:11" ht="12.75" customHeight="1">
      <c r="B299" s="162" t="s">
        <v>11</v>
      </c>
      <c r="C299" s="98">
        <v>4967</v>
      </c>
      <c r="D299" s="99">
        <v>137</v>
      </c>
      <c r="E299" s="163">
        <f t="shared" si="126"/>
        <v>36.255474452554743</v>
      </c>
      <c r="F299" s="98">
        <v>3377</v>
      </c>
      <c r="G299" s="99">
        <v>144</v>
      </c>
      <c r="H299" s="164">
        <f t="shared" si="127"/>
        <v>23.451388888888889</v>
      </c>
      <c r="I299" s="165">
        <f t="shared" si="128"/>
        <v>8344</v>
      </c>
      <c r="J299" s="165">
        <f t="shared" si="128"/>
        <v>281</v>
      </c>
      <c r="K299" s="166">
        <f t="shared" si="129"/>
        <v>29.693950177935942</v>
      </c>
    </row>
    <row r="300" spans="2:11" ht="12.75" customHeight="1">
      <c r="B300" s="162" t="s">
        <v>12</v>
      </c>
      <c r="C300" s="98">
        <v>13254</v>
      </c>
      <c r="D300" s="99">
        <v>295</v>
      </c>
      <c r="E300" s="163">
        <f t="shared" si="126"/>
        <v>44.92881355932203</v>
      </c>
      <c r="F300" s="98">
        <v>13824</v>
      </c>
      <c r="G300" s="99">
        <v>386</v>
      </c>
      <c r="H300" s="164">
        <f t="shared" si="127"/>
        <v>35.813471502590673</v>
      </c>
      <c r="I300" s="165">
        <f t="shared" si="128"/>
        <v>27078</v>
      </c>
      <c r="J300" s="165">
        <f t="shared" si="128"/>
        <v>681</v>
      </c>
      <c r="K300" s="166">
        <f t="shared" si="129"/>
        <v>39.762114537444937</v>
      </c>
    </row>
    <row r="301" spans="2:11" ht="12.75" customHeight="1">
      <c r="B301" s="162" t="s">
        <v>21</v>
      </c>
      <c r="C301" s="98">
        <v>12253</v>
      </c>
      <c r="D301" s="99">
        <v>250</v>
      </c>
      <c r="E301" s="163">
        <f t="shared" si="126"/>
        <v>49.012</v>
      </c>
      <c r="F301" s="98">
        <v>8509</v>
      </c>
      <c r="G301" s="99">
        <v>212</v>
      </c>
      <c r="H301" s="164">
        <f t="shared" si="127"/>
        <v>40.136792452830186</v>
      </c>
      <c r="I301" s="165">
        <f t="shared" si="128"/>
        <v>20762</v>
      </c>
      <c r="J301" s="165">
        <f t="shared" si="128"/>
        <v>462</v>
      </c>
      <c r="K301" s="166">
        <f t="shared" si="129"/>
        <v>44.939393939393938</v>
      </c>
    </row>
    <row r="302" spans="2:11" ht="12.75" customHeight="1">
      <c r="B302" s="162" t="s">
        <v>13</v>
      </c>
      <c r="C302" s="98">
        <v>71473</v>
      </c>
      <c r="D302" s="99">
        <v>1721</v>
      </c>
      <c r="E302" s="163">
        <f t="shared" si="126"/>
        <v>41.529924462521791</v>
      </c>
      <c r="F302" s="98">
        <v>19819</v>
      </c>
      <c r="G302" s="99">
        <v>675</v>
      </c>
      <c r="H302" s="164">
        <f t="shared" si="127"/>
        <v>29.36148148148148</v>
      </c>
      <c r="I302" s="165">
        <f t="shared" si="128"/>
        <v>91292</v>
      </c>
      <c r="J302" s="165">
        <f t="shared" si="128"/>
        <v>2396</v>
      </c>
      <c r="K302" s="166">
        <f t="shared" si="129"/>
        <v>38.101836393989984</v>
      </c>
    </row>
    <row r="303" spans="2:11" ht="12.75" customHeight="1">
      <c r="B303" s="167"/>
      <c r="C303" s="100"/>
      <c r="D303" s="101"/>
      <c r="E303" s="168"/>
      <c r="F303" s="100"/>
      <c r="G303" s="101"/>
      <c r="H303" s="169"/>
      <c r="I303" s="155"/>
      <c r="J303" s="155"/>
      <c r="K303" s="170"/>
    </row>
    <row r="304" spans="2:11" ht="12.75" customHeight="1">
      <c r="B304" s="124" t="s">
        <v>81</v>
      </c>
      <c r="C304" s="154">
        <v>129562</v>
      </c>
      <c r="D304" s="125">
        <v>2920</v>
      </c>
      <c r="E304" s="127">
        <f t="shared" si="126"/>
        <v>44.37054794520548</v>
      </c>
      <c r="F304" s="125">
        <v>65907</v>
      </c>
      <c r="G304" s="125">
        <v>1994</v>
      </c>
      <c r="H304" s="128">
        <f t="shared" si="127"/>
        <v>33.052657973921768</v>
      </c>
      <c r="I304" s="129">
        <f>C304+F304</f>
        <v>195469</v>
      </c>
      <c r="J304" s="129">
        <f t="shared" ref="J304" si="130">D304+G304</f>
        <v>4914</v>
      </c>
      <c r="K304" s="130">
        <f t="shared" si="129"/>
        <v>39.777981277981276</v>
      </c>
    </row>
    <row r="305" spans="2:11" ht="12.75" customHeight="1">
      <c r="B305" s="181" t="s">
        <v>78</v>
      </c>
      <c r="C305" s="98"/>
      <c r="D305" s="98"/>
      <c r="E305" s="163"/>
      <c r="F305" s="98"/>
      <c r="G305" s="98"/>
      <c r="H305" s="164"/>
      <c r="I305" s="165"/>
      <c r="J305" s="165"/>
      <c r="K305" s="166"/>
    </row>
    <row r="306" spans="2:11" ht="12.75" customHeight="1">
      <c r="B306" s="124" t="s">
        <v>83</v>
      </c>
      <c r="C306" s="154">
        <f>SUM(C297:C302)</f>
        <v>118110</v>
      </c>
      <c r="D306" s="125">
        <f>SUM(D297:D302)</f>
        <v>2675</v>
      </c>
      <c r="E306" s="127"/>
      <c r="F306" s="125">
        <f>SUM(F297:F302)</f>
        <v>62753</v>
      </c>
      <c r="G306" s="125">
        <f>SUM(G297:G302)</f>
        <v>1885</v>
      </c>
      <c r="H306" s="128"/>
      <c r="I306" s="129">
        <f>C306+F306</f>
        <v>180863</v>
      </c>
      <c r="J306" s="129">
        <f>D306+G306</f>
        <v>4560</v>
      </c>
      <c r="K306" s="130"/>
    </row>
    <row r="307" spans="2:11" ht="12.75" customHeight="1">
      <c r="B307" s="190" t="s">
        <v>80</v>
      </c>
      <c r="C307" s="100"/>
      <c r="D307" s="100"/>
      <c r="F307" s="100"/>
      <c r="G307" s="100"/>
      <c r="I307" s="155"/>
      <c r="J307" s="155"/>
      <c r="K307" s="156"/>
    </row>
    <row r="308" spans="2:11" ht="12.75" customHeight="1">
      <c r="B308" s="177"/>
      <c r="C308" s="102"/>
      <c r="D308" s="102"/>
      <c r="F308" s="102"/>
      <c r="G308" s="102"/>
      <c r="I308" s="102"/>
      <c r="J308" s="102"/>
    </row>
    <row r="309" spans="2:11" ht="12.75" customHeight="1">
      <c r="B309" s="177"/>
      <c r="C309" s="102"/>
      <c r="D309" s="102"/>
      <c r="F309" s="102"/>
      <c r="G309" s="102"/>
      <c r="I309" s="102"/>
      <c r="J309" s="102"/>
    </row>
    <row r="310" spans="2:11" ht="12.75" customHeight="1">
      <c r="B310" s="75"/>
      <c r="C310" s="75"/>
      <c r="D310" s="75"/>
      <c r="E310" s="75"/>
      <c r="F310" s="75"/>
      <c r="G310" s="75"/>
      <c r="H310" s="75"/>
      <c r="I310" s="75"/>
      <c r="J310" s="75"/>
      <c r="K310" s="75"/>
    </row>
    <row r="312" spans="2:11" ht="12.75" customHeight="1">
      <c r="B312" s="16" t="s">
        <v>69</v>
      </c>
      <c r="C312" s="304" t="s">
        <v>2</v>
      </c>
      <c r="D312" s="304"/>
      <c r="E312" s="305"/>
      <c r="F312" s="306" t="s">
        <v>3</v>
      </c>
      <c r="G312" s="304"/>
      <c r="H312" s="305"/>
      <c r="I312" s="299" t="s">
        <v>4</v>
      </c>
      <c r="J312" s="300"/>
      <c r="K312" s="300"/>
    </row>
    <row r="313" spans="2:11" ht="12.75" customHeight="1">
      <c r="B313" s="83"/>
      <c r="C313" s="132" t="s">
        <v>5</v>
      </c>
      <c r="D313" s="133" t="s">
        <v>6</v>
      </c>
      <c r="E313" s="137" t="s">
        <v>7</v>
      </c>
      <c r="F313" s="134" t="s">
        <v>5</v>
      </c>
      <c r="G313" s="135" t="s">
        <v>6</v>
      </c>
      <c r="H313" s="138" t="s">
        <v>8</v>
      </c>
      <c r="I313" s="136" t="s">
        <v>5</v>
      </c>
      <c r="J313" s="136" t="s">
        <v>6</v>
      </c>
      <c r="K313" s="139" t="s">
        <v>8</v>
      </c>
    </row>
    <row r="314" spans="2:11" ht="12.75" customHeight="1">
      <c r="B314" s="37" t="s">
        <v>9</v>
      </c>
      <c r="C314" s="96">
        <v>19789</v>
      </c>
      <c r="D314" s="97">
        <v>497</v>
      </c>
      <c r="E314" s="40">
        <f t="shared" ref="E314:E319" si="131">C314/D314</f>
        <v>39.816901408450704</v>
      </c>
      <c r="F314" s="103">
        <v>1153</v>
      </c>
      <c r="G314" s="104">
        <v>104</v>
      </c>
      <c r="H314" s="41">
        <f t="shared" ref="H314:H319" si="132">F314/G314</f>
        <v>11.086538461538462</v>
      </c>
      <c r="I314" s="119">
        <f t="shared" ref="I314:I319" si="133">C314+F314</f>
        <v>20942</v>
      </c>
      <c r="J314" s="119">
        <f t="shared" ref="J314:J319" si="134">D314+G314</f>
        <v>601</v>
      </c>
      <c r="K314" s="43">
        <f t="shared" ref="K314:K319" si="135">I314/J314</f>
        <v>34.845257903494179</v>
      </c>
    </row>
    <row r="315" spans="2:11" ht="12.75" customHeight="1">
      <c r="B315" s="45" t="s">
        <v>10</v>
      </c>
      <c r="C315" s="98">
        <v>11893</v>
      </c>
      <c r="D315" s="99">
        <v>221</v>
      </c>
      <c r="E315" s="48">
        <f t="shared" si="131"/>
        <v>53.814479638009047</v>
      </c>
      <c r="F315" s="105">
        <v>803</v>
      </c>
      <c r="G315" s="106">
        <v>33</v>
      </c>
      <c r="H315" s="49">
        <f t="shared" si="132"/>
        <v>24.333333333333332</v>
      </c>
      <c r="I315" s="120">
        <f t="shared" si="133"/>
        <v>12696</v>
      </c>
      <c r="J315" s="120">
        <f t="shared" si="134"/>
        <v>254</v>
      </c>
      <c r="K315" s="51">
        <f t="shared" si="135"/>
        <v>49.984251968503933</v>
      </c>
    </row>
    <row r="316" spans="2:11" ht="12.75" customHeight="1">
      <c r="B316" s="45" t="s">
        <v>11</v>
      </c>
      <c r="C316" s="98">
        <v>8398</v>
      </c>
      <c r="D316" s="99">
        <v>259</v>
      </c>
      <c r="E316" s="48">
        <f t="shared" si="131"/>
        <v>32.424710424710426</v>
      </c>
      <c r="F316" s="105">
        <v>945</v>
      </c>
      <c r="G316" s="106">
        <v>90</v>
      </c>
      <c r="H316" s="49">
        <f t="shared" si="132"/>
        <v>10.5</v>
      </c>
      <c r="I316" s="120">
        <f t="shared" si="133"/>
        <v>9343</v>
      </c>
      <c r="J316" s="120">
        <f t="shared" si="134"/>
        <v>349</v>
      </c>
      <c r="K316" s="51">
        <f t="shared" si="135"/>
        <v>26.770773638968482</v>
      </c>
    </row>
    <row r="317" spans="2:11" ht="12.75" customHeight="1">
      <c r="B317" s="45" t="s">
        <v>12</v>
      </c>
      <c r="C317" s="98">
        <v>28449</v>
      </c>
      <c r="D317" s="99">
        <v>666</v>
      </c>
      <c r="E317" s="48">
        <f t="shared" si="131"/>
        <v>42.716216216216218</v>
      </c>
      <c r="F317" s="105">
        <v>2446</v>
      </c>
      <c r="G317" s="106">
        <v>147</v>
      </c>
      <c r="H317" s="49">
        <f t="shared" si="132"/>
        <v>16.639455782312925</v>
      </c>
      <c r="I317" s="120">
        <f t="shared" si="133"/>
        <v>30895</v>
      </c>
      <c r="J317" s="120">
        <f t="shared" si="134"/>
        <v>813</v>
      </c>
      <c r="K317" s="51">
        <f t="shared" si="135"/>
        <v>38.00123001230012</v>
      </c>
    </row>
    <row r="318" spans="2:11" ht="12.75" customHeight="1">
      <c r="B318" s="45" t="s">
        <v>21</v>
      </c>
      <c r="C318" s="98">
        <v>21074</v>
      </c>
      <c r="D318" s="99">
        <v>461</v>
      </c>
      <c r="E318" s="48">
        <f t="shared" si="131"/>
        <v>45.713665943600866</v>
      </c>
      <c r="F318" s="105">
        <v>1448</v>
      </c>
      <c r="G318" s="106">
        <v>133</v>
      </c>
      <c r="H318" s="49">
        <f t="shared" si="132"/>
        <v>10.887218045112782</v>
      </c>
      <c r="I318" s="120">
        <f t="shared" si="133"/>
        <v>22522</v>
      </c>
      <c r="J318" s="120">
        <f t="shared" si="134"/>
        <v>594</v>
      </c>
      <c r="K318" s="51">
        <f t="shared" si="135"/>
        <v>37.915824915824913</v>
      </c>
    </row>
    <row r="319" spans="2:11" ht="12.75" customHeight="1">
      <c r="B319" s="45" t="s">
        <v>13</v>
      </c>
      <c r="C319" s="98">
        <v>91038</v>
      </c>
      <c r="D319" s="99">
        <v>2406</v>
      </c>
      <c r="E319" s="48">
        <f t="shared" si="131"/>
        <v>37.83790523690773</v>
      </c>
      <c r="F319" s="105">
        <v>3036</v>
      </c>
      <c r="G319" s="106">
        <v>220</v>
      </c>
      <c r="H319" s="49">
        <f t="shared" si="132"/>
        <v>13.8</v>
      </c>
      <c r="I319" s="120">
        <f t="shared" si="133"/>
        <v>94074</v>
      </c>
      <c r="J319" s="120">
        <f t="shared" si="134"/>
        <v>2626</v>
      </c>
      <c r="K319" s="51">
        <f t="shared" si="135"/>
        <v>35.824067022086822</v>
      </c>
    </row>
    <row r="320" spans="2:11" ht="12.75" customHeight="1">
      <c r="B320" s="53"/>
      <c r="C320" s="100"/>
      <c r="D320" s="101"/>
      <c r="E320" s="56"/>
      <c r="F320" s="107"/>
      <c r="G320" s="108"/>
      <c r="H320" s="57"/>
      <c r="I320" s="121"/>
      <c r="J320" s="121"/>
      <c r="K320" s="59"/>
    </row>
    <row r="321" spans="2:11" ht="12.75" customHeight="1">
      <c r="B321" s="124" t="s">
        <v>82</v>
      </c>
      <c r="C321" s="125">
        <v>194947</v>
      </c>
      <c r="D321" s="125">
        <v>4864</v>
      </c>
      <c r="E321" s="127">
        <f>C321/D321</f>
        <v>40.079564144736842</v>
      </c>
      <c r="F321" s="125">
        <v>10652</v>
      </c>
      <c r="G321" s="125">
        <v>784</v>
      </c>
      <c r="H321" s="128">
        <f>F321/G321</f>
        <v>13.586734693877551</v>
      </c>
      <c r="I321" s="129">
        <f>C321+F321</f>
        <v>205599</v>
      </c>
      <c r="J321" s="129">
        <f>D321+G321</f>
        <v>5648</v>
      </c>
      <c r="K321" s="130">
        <f>I321/J321</f>
        <v>36.402089235127477</v>
      </c>
    </row>
    <row r="322" spans="2:11" ht="12.75" customHeight="1">
      <c r="B322" s="181" t="s">
        <v>78</v>
      </c>
      <c r="C322" s="154"/>
      <c r="D322" s="154"/>
      <c r="E322" s="127"/>
      <c r="F322" s="154"/>
      <c r="G322" s="154"/>
      <c r="H322" s="128"/>
      <c r="I322" s="178"/>
      <c r="J322" s="178"/>
      <c r="K322" s="179"/>
    </row>
    <row r="323" spans="2:11" ht="12.75" customHeight="1">
      <c r="B323" s="124" t="s">
        <v>83</v>
      </c>
      <c r="C323" s="125">
        <v>180641</v>
      </c>
      <c r="D323" s="125">
        <v>4510</v>
      </c>
      <c r="E323" s="127"/>
      <c r="F323" s="125">
        <v>9831</v>
      </c>
      <c r="G323" s="125">
        <v>727</v>
      </c>
      <c r="H323" s="128"/>
      <c r="I323" s="129">
        <v>190472</v>
      </c>
      <c r="J323" s="129">
        <v>5237</v>
      </c>
      <c r="K323" s="130"/>
    </row>
    <row r="324" spans="2:11" ht="12.75" customHeight="1">
      <c r="B324" s="190" t="s">
        <v>80</v>
      </c>
      <c r="C324" s="102"/>
      <c r="D324" s="102"/>
      <c r="F324" s="109"/>
      <c r="G324" s="109"/>
      <c r="I324" s="109"/>
      <c r="J324" s="109"/>
    </row>
    <row r="325" spans="2:11" ht="8.4499999999999993" customHeight="1">
      <c r="B325" s="206"/>
      <c r="C325" s="188"/>
      <c r="D325" s="188"/>
      <c r="E325" s="187"/>
      <c r="F325" s="189"/>
      <c r="G325" s="189"/>
      <c r="H325" s="187"/>
      <c r="I325" s="189"/>
      <c r="J325" s="189"/>
      <c r="K325" s="187"/>
    </row>
    <row r="326" spans="2:11" ht="8.4499999999999993" customHeight="1">
      <c r="C326" s="102"/>
      <c r="D326" s="102"/>
      <c r="F326" s="109"/>
      <c r="G326" s="109"/>
      <c r="I326" s="109"/>
      <c r="J326" s="109"/>
    </row>
    <row r="327" spans="2:11" ht="12.75" customHeight="1">
      <c r="B327" s="16" t="s">
        <v>69</v>
      </c>
      <c r="C327" s="304" t="s">
        <v>75</v>
      </c>
      <c r="D327" s="304"/>
      <c r="E327" s="305"/>
      <c r="F327" s="306" t="s">
        <v>76</v>
      </c>
      <c r="G327" s="304"/>
      <c r="H327" s="305"/>
      <c r="I327" s="299" t="s">
        <v>77</v>
      </c>
      <c r="J327" s="300"/>
      <c r="K327" s="300"/>
    </row>
    <row r="328" spans="2:11" ht="12.75" customHeight="1">
      <c r="B328" s="83"/>
      <c r="C328" s="132" t="s">
        <v>5</v>
      </c>
      <c r="D328" s="133" t="s">
        <v>6</v>
      </c>
      <c r="E328" s="137" t="s">
        <v>7</v>
      </c>
      <c r="F328" s="134" t="s">
        <v>5</v>
      </c>
      <c r="G328" s="135" t="s">
        <v>6</v>
      </c>
      <c r="H328" s="138" t="s">
        <v>8</v>
      </c>
      <c r="I328" s="136" t="s">
        <v>5</v>
      </c>
      <c r="J328" s="136" t="s">
        <v>6</v>
      </c>
      <c r="K328" s="139" t="s">
        <v>8</v>
      </c>
    </row>
    <row r="329" spans="2:11" ht="12.75" customHeight="1">
      <c r="B329" s="157" t="s">
        <v>9</v>
      </c>
      <c r="C329" s="96">
        <v>10678</v>
      </c>
      <c r="D329" s="97">
        <v>201</v>
      </c>
      <c r="E329" s="158">
        <f t="shared" ref="E329:E334" si="136">C329/D329</f>
        <v>53.124378109452735</v>
      </c>
      <c r="F329" s="96">
        <v>9111</v>
      </c>
      <c r="G329" s="97">
        <v>296</v>
      </c>
      <c r="H329" s="159">
        <f t="shared" ref="H329:H334" si="137">F329/G329</f>
        <v>30.780405405405407</v>
      </c>
      <c r="I329" s="160">
        <f t="shared" ref="I329:J334" si="138">C329+F329</f>
        <v>19789</v>
      </c>
      <c r="J329" s="160">
        <f t="shared" si="138"/>
        <v>497</v>
      </c>
      <c r="K329" s="161">
        <f t="shared" ref="K329:K334" si="139">I329/J329</f>
        <v>39.816901408450704</v>
      </c>
    </row>
    <row r="330" spans="2:11" ht="12.75" customHeight="1">
      <c r="B330" s="162" t="s">
        <v>10</v>
      </c>
      <c r="C330" s="98">
        <v>4372</v>
      </c>
      <c r="D330" s="99">
        <v>57</v>
      </c>
      <c r="E330" s="163">
        <f t="shared" si="136"/>
        <v>76.701754385964918</v>
      </c>
      <c r="F330" s="98">
        <v>7521</v>
      </c>
      <c r="G330" s="99">
        <v>164</v>
      </c>
      <c r="H330" s="164">
        <f t="shared" si="137"/>
        <v>45.859756097560975</v>
      </c>
      <c r="I330" s="165">
        <f t="shared" si="138"/>
        <v>11893</v>
      </c>
      <c r="J330" s="165">
        <f t="shared" si="138"/>
        <v>221</v>
      </c>
      <c r="K330" s="166">
        <f t="shared" si="139"/>
        <v>53.814479638009047</v>
      </c>
    </row>
    <row r="331" spans="2:11" ht="12.75" customHeight="1">
      <c r="B331" s="162" t="s">
        <v>11</v>
      </c>
      <c r="C331" s="98">
        <v>4799</v>
      </c>
      <c r="D331" s="99">
        <v>118</v>
      </c>
      <c r="E331" s="163">
        <f t="shared" si="136"/>
        <v>40.66949152542373</v>
      </c>
      <c r="F331" s="98">
        <v>3599</v>
      </c>
      <c r="G331" s="99">
        <v>141</v>
      </c>
      <c r="H331" s="164">
        <f t="shared" si="137"/>
        <v>25.524822695035461</v>
      </c>
      <c r="I331" s="165">
        <f t="shared" si="138"/>
        <v>8398</v>
      </c>
      <c r="J331" s="165">
        <f t="shared" si="138"/>
        <v>259</v>
      </c>
      <c r="K331" s="166">
        <f t="shared" si="139"/>
        <v>32.424710424710426</v>
      </c>
    </row>
    <row r="332" spans="2:11" ht="12.75" customHeight="1">
      <c r="B332" s="162" t="s">
        <v>12</v>
      </c>
      <c r="C332" s="98">
        <v>14766</v>
      </c>
      <c r="D332" s="99">
        <v>265</v>
      </c>
      <c r="E332" s="163">
        <f t="shared" si="136"/>
        <v>55.720754716981133</v>
      </c>
      <c r="F332" s="98">
        <v>13683</v>
      </c>
      <c r="G332" s="99">
        <v>401</v>
      </c>
      <c r="H332" s="164">
        <f t="shared" si="137"/>
        <v>34.122194513715712</v>
      </c>
      <c r="I332" s="165">
        <f t="shared" si="138"/>
        <v>28449</v>
      </c>
      <c r="J332" s="165">
        <f t="shared" si="138"/>
        <v>666</v>
      </c>
      <c r="K332" s="166">
        <f t="shared" si="139"/>
        <v>42.716216216216218</v>
      </c>
    </row>
    <row r="333" spans="2:11" ht="12.75" customHeight="1">
      <c r="B333" s="162" t="s">
        <v>21</v>
      </c>
      <c r="C333" s="98">
        <v>12554</v>
      </c>
      <c r="D333" s="99">
        <v>240</v>
      </c>
      <c r="E333" s="163">
        <f t="shared" si="136"/>
        <v>52.30833333333333</v>
      </c>
      <c r="F333" s="98">
        <v>8520</v>
      </c>
      <c r="G333" s="99">
        <v>221</v>
      </c>
      <c r="H333" s="164">
        <f t="shared" si="137"/>
        <v>38.552036199095021</v>
      </c>
      <c r="I333" s="165">
        <f t="shared" si="138"/>
        <v>21074</v>
      </c>
      <c r="J333" s="165">
        <f t="shared" si="138"/>
        <v>461</v>
      </c>
      <c r="K333" s="166">
        <f t="shared" si="139"/>
        <v>45.713665943600866</v>
      </c>
    </row>
    <row r="334" spans="2:11" ht="12.75" customHeight="1">
      <c r="B334" s="162" t="s">
        <v>13</v>
      </c>
      <c r="C334" s="98">
        <f>837+71527</f>
        <v>72364</v>
      </c>
      <c r="D334" s="99">
        <v>1725</v>
      </c>
      <c r="E334" s="163">
        <f t="shared" si="136"/>
        <v>41.950144927536229</v>
      </c>
      <c r="F334" s="98">
        <v>18674</v>
      </c>
      <c r="G334" s="99">
        <v>681</v>
      </c>
      <c r="H334" s="164">
        <f t="shared" si="137"/>
        <v>27.421439060205579</v>
      </c>
      <c r="I334" s="165">
        <f t="shared" si="138"/>
        <v>91038</v>
      </c>
      <c r="J334" s="165">
        <f t="shared" si="138"/>
        <v>2406</v>
      </c>
      <c r="K334" s="166">
        <f t="shared" si="139"/>
        <v>37.83790523690773</v>
      </c>
    </row>
    <row r="335" spans="2:11" ht="12.75" customHeight="1">
      <c r="B335" s="167"/>
      <c r="C335" s="100"/>
      <c r="D335" s="101"/>
      <c r="E335" s="168"/>
      <c r="F335" s="100"/>
      <c r="G335" s="101"/>
      <c r="H335" s="169"/>
      <c r="I335" s="155"/>
      <c r="J335" s="155"/>
      <c r="K335" s="170"/>
    </row>
    <row r="336" spans="2:11" ht="12.75" customHeight="1">
      <c r="B336" s="124" t="s">
        <v>81</v>
      </c>
      <c r="C336" s="154">
        <v>130830</v>
      </c>
      <c r="D336" s="125">
        <v>2849</v>
      </c>
      <c r="E336" s="127">
        <f>C336/D336</f>
        <v>45.921375921375919</v>
      </c>
      <c r="F336" s="125">
        <v>64117</v>
      </c>
      <c r="G336" s="125">
        <v>2015</v>
      </c>
      <c r="H336" s="128">
        <f>F336/G336</f>
        <v>31.819851116625308</v>
      </c>
      <c r="I336" s="129">
        <f>C336+F336</f>
        <v>194947</v>
      </c>
      <c r="J336" s="129">
        <f>D336+G336</f>
        <v>4864</v>
      </c>
      <c r="K336" s="130">
        <f>I336/J336</f>
        <v>40.079564144736842</v>
      </c>
    </row>
    <row r="337" spans="1:11" s="172" customFormat="1" ht="12.75" customHeight="1">
      <c r="B337" s="198" t="s">
        <v>78</v>
      </c>
      <c r="C337" s="98"/>
      <c r="D337" s="98"/>
      <c r="E337" s="163"/>
      <c r="F337" s="98"/>
      <c r="G337" s="98"/>
      <c r="H337" s="164"/>
      <c r="I337" s="165"/>
      <c r="J337" s="165"/>
      <c r="K337" s="166"/>
    </row>
    <row r="338" spans="1:11" s="172" customFormat="1" ht="12.75" customHeight="1">
      <c r="B338" s="199" t="s">
        <v>83</v>
      </c>
      <c r="C338" s="185">
        <f>SUM(C329:C334)</f>
        <v>119533</v>
      </c>
      <c r="D338" s="185">
        <f>SUM(D329:D334)</f>
        <v>2606</v>
      </c>
      <c r="E338" s="200"/>
      <c r="F338" s="185">
        <f>SUM(F329:F334)</f>
        <v>61108</v>
      </c>
      <c r="G338" s="185">
        <f>SUM(G329:G334)</f>
        <v>1904</v>
      </c>
      <c r="H338" s="201"/>
      <c r="I338" s="202">
        <f>C338+F338</f>
        <v>180641</v>
      </c>
      <c r="J338" s="202">
        <f>D338+G338</f>
        <v>4510</v>
      </c>
      <c r="K338" s="203"/>
    </row>
    <row r="339" spans="1:11" ht="12.75" customHeight="1">
      <c r="B339" s="191" t="s">
        <v>80</v>
      </c>
      <c r="C339" s="183"/>
      <c r="D339" s="183"/>
      <c r="F339" s="183"/>
      <c r="G339" s="183"/>
      <c r="I339" s="184"/>
      <c r="J339" s="184"/>
    </row>
    <row r="340" spans="1:11" ht="12.75" customHeight="1">
      <c r="B340" s="177"/>
      <c r="C340" s="102"/>
      <c r="D340" s="102"/>
      <c r="F340" s="102"/>
      <c r="G340" s="102"/>
      <c r="I340" s="102"/>
      <c r="J340" s="102"/>
    </row>
    <row r="341" spans="1:11" ht="12.75" customHeight="1">
      <c r="B341" s="177"/>
      <c r="C341" s="102"/>
      <c r="D341" s="102"/>
      <c r="F341" s="102"/>
      <c r="G341" s="102"/>
      <c r="I341" s="102"/>
      <c r="J341" s="102"/>
    </row>
    <row r="342" spans="1:11" ht="12.75" customHeight="1">
      <c r="B342" s="75"/>
      <c r="C342" s="75"/>
      <c r="D342" s="75"/>
      <c r="E342" s="75"/>
      <c r="F342" s="75"/>
      <c r="G342" s="75"/>
      <c r="H342" s="75"/>
      <c r="I342" s="75"/>
      <c r="J342" s="75"/>
      <c r="K342" s="75"/>
    </row>
    <row r="344" spans="1:11">
      <c r="B344" s="16" t="s">
        <v>67</v>
      </c>
      <c r="C344" s="304" t="s">
        <v>2</v>
      </c>
      <c r="D344" s="304"/>
      <c r="E344" s="305"/>
      <c r="F344" s="306" t="s">
        <v>3</v>
      </c>
      <c r="G344" s="304"/>
      <c r="H344" s="305"/>
      <c r="I344" s="299" t="s">
        <v>4</v>
      </c>
      <c r="J344" s="300"/>
      <c r="K344" s="300"/>
    </row>
    <row r="345" spans="1:11" s="83" customFormat="1">
      <c r="A345" s="28"/>
      <c r="C345" s="132" t="s">
        <v>5</v>
      </c>
      <c r="D345" s="133" t="s">
        <v>6</v>
      </c>
      <c r="E345" s="137" t="s">
        <v>7</v>
      </c>
      <c r="F345" s="134" t="s">
        <v>5</v>
      </c>
      <c r="G345" s="135" t="s">
        <v>6</v>
      </c>
      <c r="H345" s="138" t="s">
        <v>8</v>
      </c>
      <c r="I345" s="136" t="s">
        <v>5</v>
      </c>
      <c r="J345" s="136" t="s">
        <v>6</v>
      </c>
      <c r="K345" s="139" t="s">
        <v>8</v>
      </c>
    </row>
    <row r="346" spans="1:11">
      <c r="A346" s="83"/>
      <c r="B346" s="37" t="s">
        <v>9</v>
      </c>
      <c r="C346" s="96">
        <f>10122+7775</f>
        <v>17897</v>
      </c>
      <c r="D346" s="97">
        <f>195+263</f>
        <v>458</v>
      </c>
      <c r="E346" s="40">
        <f t="shared" ref="E346:E351" si="140">C346/D346</f>
        <v>39.0764192139738</v>
      </c>
      <c r="F346" s="103">
        <f>856+329</f>
        <v>1185</v>
      </c>
      <c r="G346" s="104">
        <f>79+31</f>
        <v>110</v>
      </c>
      <c r="H346" s="41">
        <f t="shared" ref="H346:H351" si="141">F346/G346</f>
        <v>10.772727272727273</v>
      </c>
      <c r="I346" s="119">
        <f t="shared" ref="I346:I351" si="142">C346+F346</f>
        <v>19082</v>
      </c>
      <c r="J346" s="119">
        <f t="shared" ref="J346:J351" si="143">D346+G346</f>
        <v>568</v>
      </c>
      <c r="K346" s="43">
        <f t="shared" ref="K346:K351" si="144">I346/J346</f>
        <v>33.595070422535208</v>
      </c>
    </row>
    <row r="347" spans="1:11">
      <c r="A347" s="36"/>
      <c r="B347" s="45" t="s">
        <v>10</v>
      </c>
      <c r="C347" s="98">
        <f>5221+7122</f>
        <v>12343</v>
      </c>
      <c r="D347" s="99">
        <f>64+154</f>
        <v>218</v>
      </c>
      <c r="E347" s="48">
        <f t="shared" si="140"/>
        <v>56.61926605504587</v>
      </c>
      <c r="F347" s="105">
        <f>605+14</f>
        <v>619</v>
      </c>
      <c r="G347" s="106">
        <f>28+3</f>
        <v>31</v>
      </c>
      <c r="H347" s="49">
        <f t="shared" si="141"/>
        <v>19.967741935483872</v>
      </c>
      <c r="I347" s="120">
        <f t="shared" si="142"/>
        <v>12962</v>
      </c>
      <c r="J347" s="120">
        <f t="shared" si="143"/>
        <v>249</v>
      </c>
      <c r="K347" s="51">
        <f t="shared" si="144"/>
        <v>52.056224899598391</v>
      </c>
    </row>
    <row r="348" spans="1:11">
      <c r="A348" s="44"/>
      <c r="B348" s="45" t="s">
        <v>11</v>
      </c>
      <c r="C348" s="98">
        <f>4875+3304</f>
        <v>8179</v>
      </c>
      <c r="D348" s="99">
        <f>123+146</f>
        <v>269</v>
      </c>
      <c r="E348" s="48">
        <f t="shared" si="140"/>
        <v>30.405204460966544</v>
      </c>
      <c r="F348" s="105">
        <f>553+167</f>
        <v>720</v>
      </c>
      <c r="G348" s="106">
        <f>68+12</f>
        <v>80</v>
      </c>
      <c r="H348" s="49">
        <f t="shared" si="141"/>
        <v>9</v>
      </c>
      <c r="I348" s="120">
        <f t="shared" si="142"/>
        <v>8899</v>
      </c>
      <c r="J348" s="120">
        <f t="shared" si="143"/>
        <v>349</v>
      </c>
      <c r="K348" s="51">
        <f t="shared" si="144"/>
        <v>25.498567335243553</v>
      </c>
    </row>
    <row r="349" spans="1:11">
      <c r="A349" s="44"/>
      <c r="B349" s="45" t="s">
        <v>12</v>
      </c>
      <c r="C349" s="98">
        <f>11486+12626</f>
        <v>24112</v>
      </c>
      <c r="D349" s="99">
        <f>244+396</f>
        <v>640</v>
      </c>
      <c r="E349" s="48">
        <f t="shared" si="140"/>
        <v>37.674999999999997</v>
      </c>
      <c r="F349" s="105">
        <f>1792+264</f>
        <v>2056</v>
      </c>
      <c r="G349" s="106">
        <f>130+11</f>
        <v>141</v>
      </c>
      <c r="H349" s="49">
        <f t="shared" si="141"/>
        <v>14.581560283687944</v>
      </c>
      <c r="I349" s="120">
        <f t="shared" si="142"/>
        <v>26168</v>
      </c>
      <c r="J349" s="120">
        <f t="shared" si="143"/>
        <v>781</v>
      </c>
      <c r="K349" s="51">
        <f t="shared" si="144"/>
        <v>33.505761843790012</v>
      </c>
    </row>
    <row r="350" spans="1:11">
      <c r="A350" s="44"/>
      <c r="B350" s="45" t="s">
        <v>21</v>
      </c>
      <c r="C350" s="98">
        <f>11503+7451</f>
        <v>18954</v>
      </c>
      <c r="D350" s="99">
        <f>225+198</f>
        <v>423</v>
      </c>
      <c r="E350" s="48">
        <f t="shared" si="140"/>
        <v>44.808510638297875</v>
      </c>
      <c r="F350" s="105">
        <f>1032+199</f>
        <v>1231</v>
      </c>
      <c r="G350" s="106">
        <f>106+25</f>
        <v>131</v>
      </c>
      <c r="H350" s="49">
        <f t="shared" si="141"/>
        <v>9.3969465648854964</v>
      </c>
      <c r="I350" s="120">
        <f t="shared" si="142"/>
        <v>20185</v>
      </c>
      <c r="J350" s="120">
        <f t="shared" si="143"/>
        <v>554</v>
      </c>
      <c r="K350" s="51">
        <f t="shared" si="144"/>
        <v>36.435018050541515</v>
      </c>
    </row>
    <row r="351" spans="1:11">
      <c r="A351" s="44"/>
      <c r="B351" s="45" t="s">
        <v>13</v>
      </c>
      <c r="C351" s="98">
        <f>69110+17810</f>
        <v>86920</v>
      </c>
      <c r="D351" s="99">
        <f>1686+638</f>
        <v>2324</v>
      </c>
      <c r="E351" s="48">
        <f t="shared" si="140"/>
        <v>37.401032702237522</v>
      </c>
      <c r="F351" s="105">
        <f>2027+665</f>
        <v>2692</v>
      </c>
      <c r="G351" s="106">
        <f>171+46</f>
        <v>217</v>
      </c>
      <c r="H351" s="49">
        <f t="shared" si="141"/>
        <v>12.40552995391705</v>
      </c>
      <c r="I351" s="120">
        <f t="shared" si="142"/>
        <v>89612</v>
      </c>
      <c r="J351" s="120">
        <f t="shared" si="143"/>
        <v>2541</v>
      </c>
      <c r="K351" s="51">
        <f t="shared" si="144"/>
        <v>35.26643053915781</v>
      </c>
    </row>
    <row r="352" spans="1:11">
      <c r="A352" s="44"/>
      <c r="B352" s="53"/>
      <c r="C352" s="100"/>
      <c r="D352" s="101"/>
      <c r="E352" s="56"/>
      <c r="F352" s="107"/>
      <c r="G352" s="108"/>
      <c r="H352" s="57"/>
      <c r="I352" s="121"/>
      <c r="J352" s="121"/>
      <c r="K352" s="59"/>
    </row>
    <row r="353" spans="1:12" s="131" customFormat="1">
      <c r="A353" s="52"/>
      <c r="B353" s="124" t="s">
        <v>81</v>
      </c>
      <c r="C353" s="125">
        <f>C364-C359</f>
        <v>184058</v>
      </c>
      <c r="D353" s="125">
        <f>D364-D359</f>
        <v>4734</v>
      </c>
      <c r="E353" s="127">
        <f>C353/D353</f>
        <v>38.880016899028305</v>
      </c>
      <c r="F353" s="125">
        <f>F364-F359</f>
        <v>9236</v>
      </c>
      <c r="G353" s="125">
        <f>G364-G359</f>
        <v>767</v>
      </c>
      <c r="H353" s="128">
        <f>F353/G353</f>
        <v>12.041720990873534</v>
      </c>
      <c r="I353" s="129">
        <f>C353+F353</f>
        <v>193294</v>
      </c>
      <c r="J353" s="129">
        <f>D353+G353</f>
        <v>5501</v>
      </c>
      <c r="K353" s="130">
        <f>I353/J353</f>
        <v>35.137974913652066</v>
      </c>
    </row>
    <row r="354" spans="1:12" s="131" customFormat="1">
      <c r="A354" s="28"/>
      <c r="B354" s="198" t="s">
        <v>78</v>
      </c>
      <c r="C354" s="202"/>
      <c r="D354" s="202"/>
      <c r="E354" s="205"/>
      <c r="F354" s="202"/>
      <c r="G354" s="202"/>
      <c r="H354" s="204"/>
      <c r="I354" s="202"/>
      <c r="J354" s="202"/>
      <c r="K354" s="203"/>
    </row>
    <row r="355" spans="1:12" s="131" customFormat="1">
      <c r="A355" s="52"/>
      <c r="B355" s="199" t="s">
        <v>83</v>
      </c>
      <c r="C355" s="185">
        <f>SUM(C346:C351)</f>
        <v>168405</v>
      </c>
      <c r="D355" s="185">
        <f>SUM(D346:D351)</f>
        <v>4332</v>
      </c>
      <c r="E355" s="200"/>
      <c r="F355" s="185">
        <f t="shared" ref="F355:J355" si="145">SUM(F346:F351)</f>
        <v>8503</v>
      </c>
      <c r="G355" s="185">
        <f t="shared" si="145"/>
        <v>710</v>
      </c>
      <c r="H355" s="201"/>
      <c r="I355" s="202">
        <f t="shared" si="145"/>
        <v>176908</v>
      </c>
      <c r="J355" s="202">
        <f t="shared" si="145"/>
        <v>5042</v>
      </c>
      <c r="K355" s="203"/>
    </row>
    <row r="356" spans="1:12">
      <c r="B356" s="191" t="s">
        <v>80</v>
      </c>
      <c r="C356" s="102"/>
      <c r="D356" s="102"/>
      <c r="F356" s="109"/>
      <c r="G356" s="109"/>
      <c r="I356" s="109"/>
      <c r="J356" s="109"/>
    </row>
    <row r="357" spans="1:12" ht="6.75" customHeight="1">
      <c r="C357" s="102"/>
      <c r="D357" s="102"/>
      <c r="F357" s="109"/>
      <c r="G357" s="109"/>
      <c r="I357" s="109"/>
      <c r="J357" s="109"/>
    </row>
    <row r="358" spans="1:12" ht="6.75" customHeight="1">
      <c r="C358" s="102"/>
      <c r="D358" s="102"/>
      <c r="F358" s="109"/>
      <c r="G358" s="109"/>
      <c r="I358" s="109"/>
      <c r="J358" s="109"/>
    </row>
    <row r="359" spans="1:12">
      <c r="B359" s="20" t="s">
        <v>22</v>
      </c>
      <c r="C359" s="96">
        <f>5587</f>
        <v>5587</v>
      </c>
      <c r="D359" s="97">
        <v>111</v>
      </c>
      <c r="E359" s="63">
        <f>C359/D359</f>
        <v>50.333333333333336</v>
      </c>
      <c r="F359" s="103">
        <f>157+44</f>
        <v>201</v>
      </c>
      <c r="G359" s="104">
        <f>16+7</f>
        <v>23</v>
      </c>
      <c r="H359" s="63">
        <f>F359/G359</f>
        <v>8.7391304347826093</v>
      </c>
      <c r="I359" s="119">
        <f t="shared" ref="I359:J361" si="146">C359+F359</f>
        <v>5788</v>
      </c>
      <c r="J359" s="119">
        <f t="shared" si="146"/>
        <v>134</v>
      </c>
      <c r="K359" s="64">
        <f>I359/J359</f>
        <v>43.194029850746269</v>
      </c>
    </row>
    <row r="360" spans="1:12">
      <c r="A360" s="19"/>
      <c r="B360" s="20" t="s">
        <v>23</v>
      </c>
      <c r="C360" s="96">
        <v>4070</v>
      </c>
      <c r="D360" s="97">
        <v>51</v>
      </c>
      <c r="E360" s="63">
        <f>C360/D360</f>
        <v>79.803921568627445</v>
      </c>
      <c r="F360" s="110">
        <v>0</v>
      </c>
      <c r="G360" s="111">
        <v>0</v>
      </c>
      <c r="H360" s="63"/>
      <c r="I360" s="119">
        <f t="shared" si="146"/>
        <v>4070</v>
      </c>
      <c r="J360" s="119">
        <f t="shared" si="146"/>
        <v>51</v>
      </c>
      <c r="K360" s="64">
        <f>I360/J360</f>
        <v>79.803921568627445</v>
      </c>
    </row>
    <row r="361" spans="1:12">
      <c r="A361" s="19"/>
      <c r="B361" s="20" t="s">
        <v>24</v>
      </c>
      <c r="C361" s="96">
        <f>8518+3065</f>
        <v>11583</v>
      </c>
      <c r="D361" s="97">
        <f>222+129</f>
        <v>351</v>
      </c>
      <c r="E361" s="63">
        <f>C361/D361</f>
        <v>33</v>
      </c>
      <c r="F361" s="103">
        <f>472+261</f>
        <v>733</v>
      </c>
      <c r="G361" s="104">
        <f>40+17</f>
        <v>57</v>
      </c>
      <c r="H361" s="63">
        <f>F361/G361</f>
        <v>12.859649122807017</v>
      </c>
      <c r="I361" s="119">
        <f t="shared" si="146"/>
        <v>12316</v>
      </c>
      <c r="J361" s="119">
        <f t="shared" si="146"/>
        <v>408</v>
      </c>
      <c r="K361" s="64">
        <f>I361/J361</f>
        <v>30.186274509803923</v>
      </c>
    </row>
    <row r="362" spans="1:12">
      <c r="A362" s="19"/>
      <c r="B362" s="20"/>
      <c r="C362" s="96"/>
      <c r="D362" s="97"/>
      <c r="E362" s="63"/>
      <c r="F362" s="103"/>
      <c r="G362" s="104"/>
      <c r="H362" s="63"/>
      <c r="I362" s="119"/>
      <c r="J362" s="119"/>
      <c r="K362" s="64"/>
    </row>
    <row r="363" spans="1:12">
      <c r="A363" s="19"/>
      <c r="B363" s="20"/>
      <c r="C363" s="96"/>
      <c r="D363" s="97"/>
      <c r="E363" s="63"/>
      <c r="F363" s="103"/>
      <c r="G363" s="104"/>
      <c r="H363" s="63"/>
      <c r="I363" s="119"/>
      <c r="J363" s="119"/>
      <c r="K363" s="64"/>
    </row>
    <row r="364" spans="1:12" s="74" customFormat="1">
      <c r="A364" s="19"/>
      <c r="B364" s="68" t="s">
        <v>25</v>
      </c>
      <c r="C364" s="112">
        <f>124905+64740</f>
        <v>189645</v>
      </c>
      <c r="D364" s="113">
        <f>2810+2035</f>
        <v>4845</v>
      </c>
      <c r="E364" s="114">
        <f>C364/D364</f>
        <v>39.142414860681114</v>
      </c>
      <c r="F364" s="115">
        <f>7494+1943</f>
        <v>9437</v>
      </c>
      <c r="G364" s="115">
        <f>638+152</f>
        <v>790</v>
      </c>
      <c r="H364" s="114">
        <f>F364/G364</f>
        <v>11.945569620253165</v>
      </c>
      <c r="I364" s="116">
        <f>C364+F364</f>
        <v>199082</v>
      </c>
      <c r="J364" s="116">
        <f>D364+G364</f>
        <v>5635</v>
      </c>
      <c r="K364" s="117">
        <f>I364/J364</f>
        <v>35.329547471162378</v>
      </c>
      <c r="L364" s="118"/>
    </row>
    <row r="365" spans="1:12" s="74" customFormat="1" ht="5.25" customHeight="1">
      <c r="A365" s="19"/>
      <c r="B365" s="207"/>
      <c r="C365" s="208"/>
      <c r="D365" s="208"/>
      <c r="E365" s="209"/>
      <c r="F365" s="210"/>
      <c r="G365" s="210"/>
      <c r="H365" s="209"/>
      <c r="I365" s="210"/>
      <c r="J365" s="210"/>
      <c r="K365" s="209"/>
      <c r="L365" s="118"/>
    </row>
    <row r="366" spans="1:12" s="74" customFormat="1" ht="5.25" customHeight="1">
      <c r="A366" s="19"/>
      <c r="B366" s="173"/>
      <c r="C366" s="174"/>
      <c r="D366" s="174"/>
      <c r="E366" s="175"/>
      <c r="F366" s="176"/>
      <c r="G366" s="176"/>
      <c r="H366" s="175"/>
      <c r="I366" s="176"/>
      <c r="J366" s="176"/>
      <c r="K366" s="175"/>
      <c r="L366" s="118"/>
    </row>
    <row r="367" spans="1:12" s="74" customFormat="1">
      <c r="A367" s="19"/>
      <c r="B367" s="16" t="s">
        <v>67</v>
      </c>
      <c r="C367" s="304" t="s">
        <v>75</v>
      </c>
      <c r="D367" s="304"/>
      <c r="E367" s="305"/>
      <c r="F367" s="306" t="s">
        <v>76</v>
      </c>
      <c r="G367" s="304"/>
      <c r="H367" s="305"/>
      <c r="I367" s="299" t="s">
        <v>77</v>
      </c>
      <c r="J367" s="300"/>
      <c r="K367" s="300"/>
      <c r="L367" s="118"/>
    </row>
    <row r="368" spans="1:12" s="74" customFormat="1">
      <c r="A368" s="19"/>
      <c r="B368" s="83"/>
      <c r="C368" s="132" t="s">
        <v>5</v>
      </c>
      <c r="D368" s="133" t="s">
        <v>6</v>
      </c>
      <c r="E368" s="137" t="s">
        <v>7</v>
      </c>
      <c r="F368" s="134" t="s">
        <v>5</v>
      </c>
      <c r="G368" s="135" t="s">
        <v>6</v>
      </c>
      <c r="H368" s="138" t="s">
        <v>8</v>
      </c>
      <c r="I368" s="136" t="s">
        <v>5</v>
      </c>
      <c r="J368" s="136" t="s">
        <v>6</v>
      </c>
      <c r="K368" s="139" t="s">
        <v>8</v>
      </c>
      <c r="L368" s="118"/>
    </row>
    <row r="369" spans="1:12" s="74" customFormat="1">
      <c r="A369" s="19"/>
      <c r="B369" s="157" t="s">
        <v>9</v>
      </c>
      <c r="C369" s="96">
        <v>10122</v>
      </c>
      <c r="D369" s="97">
        <v>195</v>
      </c>
      <c r="E369" s="158">
        <f t="shared" ref="E369:E374" si="147">C369/D369</f>
        <v>51.907692307692308</v>
      </c>
      <c r="F369" s="96">
        <v>7775</v>
      </c>
      <c r="G369" s="97">
        <v>263</v>
      </c>
      <c r="H369" s="159">
        <f t="shared" ref="H369:H374" si="148">F369/G369</f>
        <v>29.562737642585553</v>
      </c>
      <c r="I369" s="160">
        <f t="shared" ref="I369:I374" si="149">C369+F369</f>
        <v>17897</v>
      </c>
      <c r="J369" s="160">
        <f t="shared" ref="J369:J374" si="150">D369+G369</f>
        <v>458</v>
      </c>
      <c r="K369" s="161">
        <f t="shared" ref="K369:K374" si="151">I369/J369</f>
        <v>39.0764192139738</v>
      </c>
      <c r="L369" s="118"/>
    </row>
    <row r="370" spans="1:12" s="74" customFormat="1">
      <c r="A370" s="19"/>
      <c r="B370" s="162" t="s">
        <v>10</v>
      </c>
      <c r="C370" s="98">
        <v>5221</v>
      </c>
      <c r="D370" s="99">
        <v>64</v>
      </c>
      <c r="E370" s="163">
        <f t="shared" si="147"/>
        <v>81.578125</v>
      </c>
      <c r="F370" s="98">
        <v>7122</v>
      </c>
      <c r="G370" s="99">
        <v>154</v>
      </c>
      <c r="H370" s="164">
        <f t="shared" si="148"/>
        <v>46.246753246753244</v>
      </c>
      <c r="I370" s="165">
        <f t="shared" si="149"/>
        <v>12343</v>
      </c>
      <c r="J370" s="165">
        <f t="shared" si="150"/>
        <v>218</v>
      </c>
      <c r="K370" s="166">
        <f t="shared" si="151"/>
        <v>56.61926605504587</v>
      </c>
      <c r="L370" s="118"/>
    </row>
    <row r="371" spans="1:12" s="74" customFormat="1">
      <c r="A371" s="19"/>
      <c r="B371" s="162" t="s">
        <v>11</v>
      </c>
      <c r="C371" s="98">
        <v>4875</v>
      </c>
      <c r="D371" s="99">
        <v>123</v>
      </c>
      <c r="E371" s="163">
        <f t="shared" si="147"/>
        <v>39.634146341463413</v>
      </c>
      <c r="F371" s="98">
        <v>3304</v>
      </c>
      <c r="G371" s="99">
        <v>146</v>
      </c>
      <c r="H371" s="164">
        <f t="shared" si="148"/>
        <v>22.63013698630137</v>
      </c>
      <c r="I371" s="165">
        <f t="shared" si="149"/>
        <v>8179</v>
      </c>
      <c r="J371" s="165">
        <f t="shared" si="150"/>
        <v>269</v>
      </c>
      <c r="K371" s="166">
        <f t="shared" si="151"/>
        <v>30.405204460966544</v>
      </c>
      <c r="L371" s="118"/>
    </row>
    <row r="372" spans="1:12" s="74" customFormat="1">
      <c r="A372" s="19"/>
      <c r="B372" s="162" t="s">
        <v>12</v>
      </c>
      <c r="C372" s="98">
        <v>11486</v>
      </c>
      <c r="D372" s="99">
        <v>244</v>
      </c>
      <c r="E372" s="163">
        <f t="shared" si="147"/>
        <v>47.07377049180328</v>
      </c>
      <c r="F372" s="98">
        <v>12626</v>
      </c>
      <c r="G372" s="99">
        <v>396</v>
      </c>
      <c r="H372" s="164">
        <f t="shared" si="148"/>
        <v>31.883838383838384</v>
      </c>
      <c r="I372" s="165">
        <f t="shared" si="149"/>
        <v>24112</v>
      </c>
      <c r="J372" s="165">
        <f t="shared" si="150"/>
        <v>640</v>
      </c>
      <c r="K372" s="166">
        <f t="shared" si="151"/>
        <v>37.674999999999997</v>
      </c>
      <c r="L372" s="118"/>
    </row>
    <row r="373" spans="1:12" s="74" customFormat="1">
      <c r="A373" s="19"/>
      <c r="B373" s="162" t="s">
        <v>21</v>
      </c>
      <c r="C373" s="98">
        <v>11503</v>
      </c>
      <c r="D373" s="99">
        <v>225</v>
      </c>
      <c r="E373" s="163">
        <f t="shared" si="147"/>
        <v>51.124444444444443</v>
      </c>
      <c r="F373" s="98">
        <v>7451</v>
      </c>
      <c r="G373" s="99">
        <v>198</v>
      </c>
      <c r="H373" s="164">
        <f t="shared" si="148"/>
        <v>37.631313131313128</v>
      </c>
      <c r="I373" s="165">
        <f t="shared" si="149"/>
        <v>18954</v>
      </c>
      <c r="J373" s="165">
        <f t="shared" si="150"/>
        <v>423</v>
      </c>
      <c r="K373" s="166">
        <f t="shared" si="151"/>
        <v>44.808510638297875</v>
      </c>
      <c r="L373" s="118"/>
    </row>
    <row r="374" spans="1:12" s="74" customFormat="1">
      <c r="A374" s="19"/>
      <c r="B374" s="162" t="s">
        <v>13</v>
      </c>
      <c r="C374" s="98">
        <v>69110</v>
      </c>
      <c r="D374" s="99">
        <v>1686</v>
      </c>
      <c r="E374" s="163">
        <f t="shared" si="147"/>
        <v>40.990510083036774</v>
      </c>
      <c r="F374" s="98">
        <v>17810</v>
      </c>
      <c r="G374" s="99">
        <v>638</v>
      </c>
      <c r="H374" s="164">
        <f t="shared" si="148"/>
        <v>27.915360501567399</v>
      </c>
      <c r="I374" s="165">
        <f t="shared" si="149"/>
        <v>86920</v>
      </c>
      <c r="J374" s="165">
        <f t="shared" si="150"/>
        <v>2324</v>
      </c>
      <c r="K374" s="166">
        <f t="shared" si="151"/>
        <v>37.401032702237522</v>
      </c>
      <c r="L374" s="118"/>
    </row>
    <row r="375" spans="1:12" s="74" customFormat="1">
      <c r="A375" s="19"/>
      <c r="B375" s="167"/>
      <c r="C375" s="100"/>
      <c r="D375" s="101"/>
      <c r="E375" s="168"/>
      <c r="F375" s="100"/>
      <c r="G375" s="101"/>
      <c r="H375" s="169"/>
      <c r="I375" s="155"/>
      <c r="J375" s="155"/>
      <c r="K375" s="170"/>
      <c r="L375" s="118"/>
    </row>
    <row r="376" spans="1:12" ht="12.75" customHeight="1">
      <c r="B376" s="124" t="s">
        <v>81</v>
      </c>
      <c r="C376" s="154">
        <f>C378+C381+C382</f>
        <v>124905</v>
      </c>
      <c r="D376" s="154">
        <f>D378+D381+D382</f>
        <v>2810</v>
      </c>
      <c r="E376" s="127">
        <f>C376/D376</f>
        <v>44.45017793594306</v>
      </c>
      <c r="F376" s="154">
        <f>F378+F381+F382</f>
        <v>59153</v>
      </c>
      <c r="G376" s="154">
        <f>G378+G381+G382</f>
        <v>1924</v>
      </c>
      <c r="H376" s="128">
        <f>F376/G376</f>
        <v>30.744802494802496</v>
      </c>
      <c r="I376" s="129">
        <f>C376+F376</f>
        <v>184058</v>
      </c>
      <c r="J376" s="129">
        <f>D376+G376</f>
        <v>4734</v>
      </c>
      <c r="K376" s="130">
        <f>I376/J376</f>
        <v>38.880016899028305</v>
      </c>
    </row>
    <row r="377" spans="1:12" s="74" customFormat="1">
      <c r="A377" s="19"/>
      <c r="B377" s="198" t="s">
        <v>78</v>
      </c>
      <c r="C377" s="98"/>
      <c r="D377" s="98"/>
      <c r="E377" s="163"/>
      <c r="F377" s="98"/>
      <c r="G377" s="98"/>
      <c r="H377" s="164"/>
      <c r="I377" s="165"/>
      <c r="J377" s="165"/>
      <c r="K377" s="166"/>
      <c r="L377" s="118"/>
    </row>
    <row r="378" spans="1:12" s="74" customFormat="1">
      <c r="A378" s="19"/>
      <c r="B378" s="199" t="s">
        <v>83</v>
      </c>
      <c r="C378" s="185">
        <f>SUM(C369:C375)</f>
        <v>112317</v>
      </c>
      <c r="D378" s="185">
        <f>SUM(D369:D375)</f>
        <v>2537</v>
      </c>
      <c r="E378" s="200"/>
      <c r="F378" s="185">
        <f>SUM(F369:F374)</f>
        <v>56088</v>
      </c>
      <c r="G378" s="185">
        <f>SUM(G369:G374)</f>
        <v>1795</v>
      </c>
      <c r="H378" s="201"/>
      <c r="I378" s="202">
        <f>C378+F378</f>
        <v>168405</v>
      </c>
      <c r="J378" s="202">
        <f>D378+G378</f>
        <v>4332</v>
      </c>
      <c r="K378" s="203"/>
      <c r="L378" s="118"/>
    </row>
    <row r="379" spans="1:12" s="74" customFormat="1">
      <c r="A379" s="19"/>
      <c r="B379" s="190" t="s">
        <v>80</v>
      </c>
      <c r="C379" s="100"/>
      <c r="D379" s="100"/>
      <c r="E379" s="214"/>
      <c r="F379" s="100"/>
      <c r="G379" s="100"/>
      <c r="H379" s="214"/>
      <c r="I379" s="155"/>
      <c r="J379" s="155"/>
      <c r="K379" s="156"/>
      <c r="L379" s="118"/>
    </row>
    <row r="380" spans="1:12" s="74" customFormat="1">
      <c r="A380" s="19"/>
      <c r="B380" s="191"/>
      <c r="C380" s="183"/>
      <c r="D380" s="183"/>
      <c r="E380" s="215"/>
      <c r="F380" s="183"/>
      <c r="G380" s="183"/>
      <c r="H380" s="215"/>
      <c r="I380" s="184"/>
      <c r="J380" s="184"/>
      <c r="K380"/>
      <c r="L380" s="118"/>
    </row>
    <row r="381" spans="1:12">
      <c r="A381" s="19"/>
      <c r="B381" s="20" t="s">
        <v>23</v>
      </c>
      <c r="C381" s="96">
        <v>4070</v>
      </c>
      <c r="D381" s="97">
        <v>51</v>
      </c>
      <c r="E381" s="63">
        <f>C381/D381</f>
        <v>79.803921568627445</v>
      </c>
      <c r="F381" s="110">
        <v>0</v>
      </c>
      <c r="G381" s="111">
        <v>0</v>
      </c>
      <c r="H381" s="63"/>
      <c r="I381" s="119">
        <f t="shared" ref="I381" si="152">C381+F381</f>
        <v>4070</v>
      </c>
      <c r="J381" s="119">
        <f t="shared" ref="J381" si="153">D381+G381</f>
        <v>51</v>
      </c>
      <c r="K381" s="63">
        <f>I381/J381</f>
        <v>79.803921568627445</v>
      </c>
    </row>
    <row r="382" spans="1:12">
      <c r="A382" s="19"/>
      <c r="B382" s="20" t="s">
        <v>24</v>
      </c>
      <c r="C382" s="96">
        <v>8518</v>
      </c>
      <c r="D382" s="97">
        <v>222</v>
      </c>
      <c r="E382" s="63">
        <f>C382/D382</f>
        <v>38.369369369369366</v>
      </c>
      <c r="F382" s="103">
        <v>3065</v>
      </c>
      <c r="G382" s="104">
        <v>129</v>
      </c>
      <c r="H382" s="63">
        <f>F382/G382</f>
        <v>23.759689922480622</v>
      </c>
      <c r="I382" s="119">
        <f t="shared" ref="I382" si="154">C382+F382</f>
        <v>11583</v>
      </c>
      <c r="J382" s="119">
        <f t="shared" ref="J382" si="155">D382+G382</f>
        <v>351</v>
      </c>
      <c r="K382" s="63">
        <f>I382/J382</f>
        <v>33</v>
      </c>
    </row>
    <row r="383" spans="1:12">
      <c r="C383" s="102"/>
      <c r="D383" s="102"/>
    </row>
    <row r="384" spans="1:12">
      <c r="B384" s="75"/>
      <c r="C384" s="75"/>
      <c r="D384" s="75"/>
      <c r="E384" s="75"/>
      <c r="F384" s="75"/>
      <c r="G384" s="75"/>
      <c r="H384" s="75"/>
      <c r="I384" s="75"/>
      <c r="J384" s="75"/>
      <c r="K384" s="75"/>
    </row>
    <row r="385" spans="1:11">
      <c r="B385" s="16" t="s">
        <v>31</v>
      </c>
      <c r="C385" s="304" t="s">
        <v>2</v>
      </c>
      <c r="D385" s="304"/>
      <c r="E385" s="305"/>
      <c r="F385" s="306" t="s">
        <v>3</v>
      </c>
      <c r="G385" s="304"/>
      <c r="H385" s="305"/>
      <c r="I385" s="299" t="s">
        <v>4</v>
      </c>
      <c r="J385" s="300"/>
      <c r="K385" s="300"/>
    </row>
    <row r="386" spans="1:11" s="83" customFormat="1">
      <c r="A386" s="28"/>
      <c r="C386" s="132" t="s">
        <v>5</v>
      </c>
      <c r="D386" s="133" t="s">
        <v>6</v>
      </c>
      <c r="E386" s="137" t="s">
        <v>7</v>
      </c>
      <c r="F386" s="134" t="s">
        <v>5</v>
      </c>
      <c r="G386" s="135" t="s">
        <v>6</v>
      </c>
      <c r="H386" s="138" t="s">
        <v>8</v>
      </c>
      <c r="I386" s="136" t="s">
        <v>5</v>
      </c>
      <c r="J386" s="136" t="s">
        <v>6</v>
      </c>
      <c r="K386" s="139" t="s">
        <v>8</v>
      </c>
    </row>
    <row r="387" spans="1:11">
      <c r="A387" s="83"/>
      <c r="B387" s="37" t="s">
        <v>9</v>
      </c>
      <c r="C387" s="96">
        <f>8841+7115</f>
        <v>15956</v>
      </c>
      <c r="D387" s="97">
        <f>175+262</f>
        <v>437</v>
      </c>
      <c r="E387" s="40">
        <f t="shared" ref="E387:E392" si="156">C387/D387</f>
        <v>36.512585812356981</v>
      </c>
      <c r="F387" s="103">
        <f>745+303</f>
        <v>1048</v>
      </c>
      <c r="G387" s="104">
        <f>81+24</f>
        <v>105</v>
      </c>
      <c r="H387" s="41">
        <f t="shared" ref="H387:H392" si="157">F387/G387</f>
        <v>9.980952380952381</v>
      </c>
      <c r="I387" s="119">
        <f t="shared" ref="I387:J392" si="158">C387+F387</f>
        <v>17004</v>
      </c>
      <c r="J387" s="119">
        <f t="shared" si="158"/>
        <v>542</v>
      </c>
      <c r="K387" s="43">
        <f t="shared" ref="K387:K392" si="159">I387/J387</f>
        <v>31.372693726937268</v>
      </c>
    </row>
    <row r="388" spans="1:11">
      <c r="A388" s="36"/>
      <c r="B388" s="45" t="s">
        <v>10</v>
      </c>
      <c r="C388" s="98">
        <f>4821+6672</f>
        <v>11493</v>
      </c>
      <c r="D388" s="99">
        <f>51+148</f>
        <v>199</v>
      </c>
      <c r="E388" s="48">
        <f t="shared" si="156"/>
        <v>57.753768844221106</v>
      </c>
      <c r="F388" s="105">
        <f>585+21</f>
        <v>606</v>
      </c>
      <c r="G388" s="106">
        <f>30+5</f>
        <v>35</v>
      </c>
      <c r="H388" s="49">
        <f t="shared" si="157"/>
        <v>17.314285714285713</v>
      </c>
      <c r="I388" s="120">
        <f t="shared" si="158"/>
        <v>12099</v>
      </c>
      <c r="J388" s="120">
        <f t="shared" si="158"/>
        <v>234</v>
      </c>
      <c r="K388" s="51">
        <f t="shared" si="159"/>
        <v>51.705128205128204</v>
      </c>
    </row>
    <row r="389" spans="1:11">
      <c r="A389" s="44"/>
      <c r="B389" s="45" t="s">
        <v>11</v>
      </c>
      <c r="C389" s="98">
        <v>8032</v>
      </c>
      <c r="D389" s="99">
        <f>131+150</f>
        <v>281</v>
      </c>
      <c r="E389" s="48">
        <f t="shared" si="156"/>
        <v>28.583629893238435</v>
      </c>
      <c r="F389" s="105">
        <f>489+148</f>
        <v>637</v>
      </c>
      <c r="G389" s="106">
        <f>69+10</f>
        <v>79</v>
      </c>
      <c r="H389" s="49">
        <f t="shared" si="157"/>
        <v>8.0632911392405067</v>
      </c>
      <c r="I389" s="120">
        <f t="shared" si="158"/>
        <v>8669</v>
      </c>
      <c r="J389" s="120">
        <f t="shared" si="158"/>
        <v>360</v>
      </c>
      <c r="K389" s="51">
        <f t="shared" si="159"/>
        <v>24.080555555555556</v>
      </c>
    </row>
    <row r="390" spans="1:11">
      <c r="A390" s="44"/>
      <c r="B390" s="45" t="s">
        <v>12</v>
      </c>
      <c r="C390" s="98">
        <f>10456+11914</f>
        <v>22370</v>
      </c>
      <c r="D390" s="99">
        <f>229+376</f>
        <v>605</v>
      </c>
      <c r="E390" s="48">
        <f t="shared" si="156"/>
        <v>36.97520661157025</v>
      </c>
      <c r="F390" s="105">
        <f>1693+236</f>
        <v>1929</v>
      </c>
      <c r="G390" s="106">
        <f>128+9</f>
        <v>137</v>
      </c>
      <c r="H390" s="49">
        <f t="shared" si="157"/>
        <v>14.08029197080292</v>
      </c>
      <c r="I390" s="120">
        <f t="shared" si="158"/>
        <v>24299</v>
      </c>
      <c r="J390" s="120">
        <f t="shared" si="158"/>
        <v>742</v>
      </c>
      <c r="K390" s="51">
        <f t="shared" si="159"/>
        <v>32.747978436657682</v>
      </c>
    </row>
    <row r="391" spans="1:11">
      <c r="A391" s="44"/>
      <c r="B391" s="45" t="s">
        <v>21</v>
      </c>
      <c r="C391" s="98">
        <f>11280+6556</f>
        <v>17836</v>
      </c>
      <c r="D391" s="99">
        <f>225+189</f>
        <v>414</v>
      </c>
      <c r="E391" s="48">
        <f t="shared" si="156"/>
        <v>43.082125603864732</v>
      </c>
      <c r="F391" s="105">
        <f>1025+236</f>
        <v>1261</v>
      </c>
      <c r="G391" s="106">
        <f>109+27</f>
        <v>136</v>
      </c>
      <c r="H391" s="49">
        <f t="shared" si="157"/>
        <v>9.2720588235294112</v>
      </c>
      <c r="I391" s="120">
        <f t="shared" si="158"/>
        <v>19097</v>
      </c>
      <c r="J391" s="120">
        <f t="shared" si="158"/>
        <v>550</v>
      </c>
      <c r="K391" s="51">
        <f t="shared" si="159"/>
        <v>34.721818181818179</v>
      </c>
    </row>
    <row r="392" spans="1:11">
      <c r="A392" s="44"/>
      <c r="B392" s="45" t="s">
        <v>13</v>
      </c>
      <c r="C392" s="98">
        <f>63537+17699</f>
        <v>81236</v>
      </c>
      <c r="D392" s="99">
        <f>1617+658</f>
        <v>2275</v>
      </c>
      <c r="E392" s="48">
        <f t="shared" si="156"/>
        <v>35.708131868131865</v>
      </c>
      <c r="F392" s="105">
        <f>2112+693</f>
        <v>2805</v>
      </c>
      <c r="G392" s="106">
        <f>183+54</f>
        <v>237</v>
      </c>
      <c r="H392" s="49">
        <f t="shared" si="157"/>
        <v>11.835443037974683</v>
      </c>
      <c r="I392" s="120">
        <f t="shared" si="158"/>
        <v>84041</v>
      </c>
      <c r="J392" s="120">
        <f t="shared" si="158"/>
        <v>2512</v>
      </c>
      <c r="K392" s="51">
        <f t="shared" si="159"/>
        <v>33.45581210191083</v>
      </c>
    </row>
    <row r="393" spans="1:11">
      <c r="A393" s="44"/>
      <c r="B393" s="53"/>
      <c r="C393" s="100"/>
      <c r="D393" s="101"/>
      <c r="E393" s="56"/>
      <c r="F393" s="107"/>
      <c r="G393" s="108"/>
      <c r="H393" s="57"/>
      <c r="I393" s="121"/>
      <c r="J393" s="121"/>
      <c r="K393" s="59"/>
    </row>
    <row r="394" spans="1:11" s="131" customFormat="1">
      <c r="A394" s="52"/>
      <c r="B394" s="124" t="s">
        <v>81</v>
      </c>
      <c r="C394" s="125">
        <f>C405-C400</f>
        <v>170953</v>
      </c>
      <c r="D394" s="125">
        <f>D405-D400</f>
        <v>4591</v>
      </c>
      <c r="E394" s="127">
        <f>C394/D394</f>
        <v>37.236549771291656</v>
      </c>
      <c r="F394" s="125">
        <f>F405-F400</f>
        <v>8984</v>
      </c>
      <c r="G394" s="125">
        <f>G405-G400</f>
        <v>789</v>
      </c>
      <c r="H394" s="128">
        <f>F394/G394</f>
        <v>11.386565272496831</v>
      </c>
      <c r="I394" s="129">
        <f>C394+F394</f>
        <v>179937</v>
      </c>
      <c r="J394" s="129">
        <f>D394+G394</f>
        <v>5380</v>
      </c>
      <c r="K394" s="130">
        <f>I394/J394</f>
        <v>33.445539033457251</v>
      </c>
    </row>
    <row r="395" spans="1:11" s="131" customFormat="1">
      <c r="A395" s="28"/>
      <c r="B395" s="198" t="s">
        <v>78</v>
      </c>
      <c r="C395" s="202"/>
      <c r="D395" s="185"/>
      <c r="E395" s="200"/>
      <c r="F395" s="211"/>
      <c r="G395" s="212"/>
      <c r="H395" s="213"/>
      <c r="I395" s="202"/>
      <c r="J395" s="202"/>
      <c r="K395" s="203"/>
    </row>
    <row r="396" spans="1:11" s="131" customFormat="1">
      <c r="A396" s="52"/>
      <c r="B396" s="124" t="s">
        <v>83</v>
      </c>
      <c r="C396" s="125">
        <f>SUM(C387:C392)</f>
        <v>156923</v>
      </c>
      <c r="D396" s="125">
        <f>SUM(D387:D392)</f>
        <v>4211</v>
      </c>
      <c r="E396" s="127"/>
      <c r="F396" s="125">
        <f t="shared" ref="F396:G396" si="160">SUM(F387:F392)</f>
        <v>8286</v>
      </c>
      <c r="G396" s="125">
        <f t="shared" si="160"/>
        <v>729</v>
      </c>
      <c r="H396" s="128"/>
      <c r="I396" s="129">
        <f t="shared" ref="I396:J396" si="161">SUM(I387:I392)</f>
        <v>165209</v>
      </c>
      <c r="J396" s="129">
        <f t="shared" si="161"/>
        <v>4940</v>
      </c>
      <c r="K396" s="130"/>
    </row>
    <row r="397" spans="1:11">
      <c r="B397" s="191" t="s">
        <v>80</v>
      </c>
      <c r="C397" s="102"/>
      <c r="D397" s="102"/>
      <c r="F397" s="109"/>
      <c r="G397" s="109"/>
      <c r="I397" s="109"/>
      <c r="J397" s="109"/>
    </row>
    <row r="398" spans="1:11" ht="4.5" customHeight="1">
      <c r="C398" s="102"/>
      <c r="D398" s="102"/>
      <c r="F398" s="109"/>
      <c r="G398" s="109"/>
      <c r="I398" s="109"/>
      <c r="J398" s="109"/>
    </row>
    <row r="399" spans="1:11" ht="4.5" customHeight="1">
      <c r="C399" s="102"/>
      <c r="D399" s="102"/>
      <c r="F399" s="109"/>
      <c r="G399" s="109"/>
      <c r="I399" s="109"/>
      <c r="J399" s="109"/>
    </row>
    <row r="400" spans="1:11">
      <c r="B400" s="20" t="s">
        <v>22</v>
      </c>
      <c r="C400" s="96">
        <v>5717</v>
      </c>
      <c r="D400" s="97">
        <v>117</v>
      </c>
      <c r="E400" s="63">
        <f>C400/D400</f>
        <v>48.863247863247864</v>
      </c>
      <c r="F400" s="103">
        <f>69+55</f>
        <v>124</v>
      </c>
      <c r="G400" s="104">
        <f>12+8</f>
        <v>20</v>
      </c>
      <c r="H400" s="63">
        <f>F400/G400</f>
        <v>6.2</v>
      </c>
      <c r="I400" s="119">
        <f t="shared" ref="I400:J402" si="162">C400+F400</f>
        <v>5841</v>
      </c>
      <c r="J400" s="119">
        <f t="shared" si="162"/>
        <v>137</v>
      </c>
      <c r="K400" s="64">
        <f>I400/J400</f>
        <v>42.635036496350367</v>
      </c>
    </row>
    <row r="401" spans="1:12">
      <c r="A401" s="19"/>
      <c r="B401" s="20" t="s">
        <v>23</v>
      </c>
      <c r="C401" s="96">
        <v>3700</v>
      </c>
      <c r="D401" s="97">
        <v>47</v>
      </c>
      <c r="E401" s="63">
        <f>C401/D401</f>
        <v>78.723404255319153</v>
      </c>
      <c r="F401" s="110">
        <v>0</v>
      </c>
      <c r="G401" s="111">
        <v>0</v>
      </c>
      <c r="H401" s="63"/>
      <c r="I401" s="119">
        <f t="shared" si="162"/>
        <v>3700</v>
      </c>
      <c r="J401" s="119">
        <f t="shared" si="162"/>
        <v>47</v>
      </c>
      <c r="K401" s="64">
        <f>I401/J401</f>
        <v>78.723404255319153</v>
      </c>
    </row>
    <row r="402" spans="1:12">
      <c r="A402" s="19"/>
      <c r="B402" s="20" t="s">
        <v>24</v>
      </c>
      <c r="C402" s="96">
        <f>7539+2791</f>
        <v>10330</v>
      </c>
      <c r="D402" s="97">
        <f>210+123</f>
        <v>333</v>
      </c>
      <c r="E402" s="63">
        <f>C402/D402</f>
        <v>31.021021021021021</v>
      </c>
      <c r="F402" s="103">
        <f>429+269</f>
        <v>698</v>
      </c>
      <c r="G402" s="104">
        <f>43+17</f>
        <v>60</v>
      </c>
      <c r="H402" s="63">
        <f>F402/G402</f>
        <v>11.633333333333333</v>
      </c>
      <c r="I402" s="119">
        <f t="shared" si="162"/>
        <v>11028</v>
      </c>
      <c r="J402" s="119">
        <f t="shared" si="162"/>
        <v>393</v>
      </c>
      <c r="K402" s="64">
        <f>I402/J402</f>
        <v>28.061068702290076</v>
      </c>
    </row>
    <row r="403" spans="1:12">
      <c r="A403" s="19"/>
      <c r="B403" s="20"/>
      <c r="C403" s="96"/>
      <c r="D403" s="97"/>
      <c r="E403" s="63"/>
      <c r="F403" s="103"/>
      <c r="G403" s="104"/>
      <c r="H403" s="63"/>
      <c r="I403" s="119"/>
      <c r="J403" s="119"/>
      <c r="K403" s="64"/>
    </row>
    <row r="404" spans="1:12">
      <c r="A404" s="19"/>
      <c r="B404" s="20"/>
      <c r="C404" s="96"/>
      <c r="D404" s="97"/>
      <c r="E404" s="63"/>
      <c r="F404" s="103"/>
      <c r="G404" s="104"/>
      <c r="H404" s="63"/>
      <c r="I404" s="119"/>
      <c r="J404" s="119"/>
      <c r="K404" s="64"/>
    </row>
    <row r="405" spans="1:12" s="74" customFormat="1">
      <c r="A405" s="19"/>
      <c r="B405" s="68" t="s">
        <v>25</v>
      </c>
      <c r="C405" s="112">
        <f>115023+61647</f>
        <v>176670</v>
      </c>
      <c r="D405" s="113">
        <f>2685+2023</f>
        <v>4708</v>
      </c>
      <c r="E405" s="114">
        <f>C405/D405</f>
        <v>37.525488530161425</v>
      </c>
      <c r="F405" s="115">
        <f>7147+1961</f>
        <v>9108</v>
      </c>
      <c r="G405" s="115">
        <f>655+154</f>
        <v>809</v>
      </c>
      <c r="H405" s="114">
        <f>F405/G405</f>
        <v>11.258343634116192</v>
      </c>
      <c r="I405" s="116">
        <f>C405+F405</f>
        <v>185778</v>
      </c>
      <c r="J405" s="116">
        <f>D405+G405</f>
        <v>5517</v>
      </c>
      <c r="K405" s="117">
        <f>I405/J405</f>
        <v>33.673735725938009</v>
      </c>
      <c r="L405" s="118"/>
    </row>
    <row r="406" spans="1:12" s="74" customFormat="1" ht="5.25" customHeight="1">
      <c r="A406" s="19"/>
      <c r="B406" s="207"/>
      <c r="C406" s="208"/>
      <c r="D406" s="208"/>
      <c r="E406" s="209"/>
      <c r="F406" s="210"/>
      <c r="G406" s="210"/>
      <c r="H406" s="209"/>
      <c r="I406" s="210"/>
      <c r="J406" s="210"/>
      <c r="K406" s="209"/>
      <c r="L406" s="118"/>
    </row>
    <row r="407" spans="1:12" s="74" customFormat="1" ht="5.25" customHeight="1">
      <c r="A407" s="19"/>
      <c r="B407" s="173"/>
      <c r="C407" s="174"/>
      <c r="D407" s="174"/>
      <c r="E407" s="175"/>
      <c r="F407" s="176"/>
      <c r="G407" s="176"/>
      <c r="H407" s="175"/>
      <c r="I407" s="176"/>
      <c r="J407" s="176"/>
      <c r="K407" s="175"/>
      <c r="L407" s="118"/>
    </row>
    <row r="408" spans="1:12" s="74" customFormat="1">
      <c r="A408" s="19"/>
      <c r="B408" s="16" t="s">
        <v>31</v>
      </c>
      <c r="C408" s="304" t="s">
        <v>75</v>
      </c>
      <c r="D408" s="304"/>
      <c r="E408" s="305"/>
      <c r="F408" s="306" t="s">
        <v>76</v>
      </c>
      <c r="G408" s="304"/>
      <c r="H408" s="305"/>
      <c r="I408" s="299" t="s">
        <v>77</v>
      </c>
      <c r="J408" s="300"/>
      <c r="K408" s="300"/>
      <c r="L408" s="118"/>
    </row>
    <row r="409" spans="1:12" s="74" customFormat="1">
      <c r="A409" s="19"/>
      <c r="B409" s="83"/>
      <c r="C409" s="132" t="s">
        <v>5</v>
      </c>
      <c r="D409" s="133" t="s">
        <v>6</v>
      </c>
      <c r="E409" s="137" t="s">
        <v>7</v>
      </c>
      <c r="F409" s="134" t="s">
        <v>5</v>
      </c>
      <c r="G409" s="135" t="s">
        <v>6</v>
      </c>
      <c r="H409" s="138" t="s">
        <v>8</v>
      </c>
      <c r="I409" s="136" t="s">
        <v>5</v>
      </c>
      <c r="J409" s="136" t="s">
        <v>6</v>
      </c>
      <c r="K409" s="139" t="s">
        <v>8</v>
      </c>
      <c r="L409" s="118"/>
    </row>
    <row r="410" spans="1:12" s="74" customFormat="1">
      <c r="A410" s="19"/>
      <c r="B410" s="157" t="s">
        <v>9</v>
      </c>
      <c r="C410" s="96">
        <v>8841</v>
      </c>
      <c r="D410" s="97">
        <v>175</v>
      </c>
      <c r="E410" s="158">
        <f t="shared" ref="E410:E415" si="163">C410/D410</f>
        <v>50.52</v>
      </c>
      <c r="F410" s="96">
        <v>7115</v>
      </c>
      <c r="G410" s="97">
        <v>262</v>
      </c>
      <c r="H410" s="159">
        <f t="shared" ref="H410:H415" si="164">F410/G410</f>
        <v>27.15648854961832</v>
      </c>
      <c r="I410" s="160">
        <f t="shared" ref="I410:I415" si="165">C410+F410</f>
        <v>15956</v>
      </c>
      <c r="J410" s="160">
        <f t="shared" ref="J410:J415" si="166">D410+G410</f>
        <v>437</v>
      </c>
      <c r="K410" s="161">
        <f t="shared" ref="K410:K415" si="167">I410/J410</f>
        <v>36.512585812356981</v>
      </c>
      <c r="L410" s="118"/>
    </row>
    <row r="411" spans="1:12" s="74" customFormat="1">
      <c r="A411" s="19"/>
      <c r="B411" s="162" t="s">
        <v>10</v>
      </c>
      <c r="C411" s="98">
        <v>4821</v>
      </c>
      <c r="D411" s="99">
        <v>51</v>
      </c>
      <c r="E411" s="163">
        <f t="shared" si="163"/>
        <v>94.529411764705884</v>
      </c>
      <c r="F411" s="98">
        <v>6672</v>
      </c>
      <c r="G411" s="99">
        <v>148</v>
      </c>
      <c r="H411" s="164">
        <f t="shared" si="164"/>
        <v>45.081081081081081</v>
      </c>
      <c r="I411" s="165">
        <f t="shared" si="165"/>
        <v>11493</v>
      </c>
      <c r="J411" s="165">
        <f t="shared" si="166"/>
        <v>199</v>
      </c>
      <c r="K411" s="166">
        <f t="shared" si="167"/>
        <v>57.753768844221106</v>
      </c>
      <c r="L411" s="118"/>
    </row>
    <row r="412" spans="1:12" s="74" customFormat="1">
      <c r="A412" s="19"/>
      <c r="B412" s="162" t="s">
        <v>11</v>
      </c>
      <c r="C412" s="98">
        <v>4849</v>
      </c>
      <c r="D412" s="99">
        <v>131</v>
      </c>
      <c r="E412" s="163">
        <f t="shared" si="163"/>
        <v>37.015267175572518</v>
      </c>
      <c r="F412" s="98">
        <v>3183</v>
      </c>
      <c r="G412" s="99">
        <v>150</v>
      </c>
      <c r="H412" s="164">
        <f t="shared" si="164"/>
        <v>21.22</v>
      </c>
      <c r="I412" s="165">
        <f t="shared" si="165"/>
        <v>8032</v>
      </c>
      <c r="J412" s="165">
        <f t="shared" si="166"/>
        <v>281</v>
      </c>
      <c r="K412" s="166">
        <f t="shared" si="167"/>
        <v>28.583629893238435</v>
      </c>
      <c r="L412" s="118"/>
    </row>
    <row r="413" spans="1:12" s="74" customFormat="1">
      <c r="A413" s="19"/>
      <c r="B413" s="162" t="s">
        <v>12</v>
      </c>
      <c r="C413" s="98">
        <v>10456</v>
      </c>
      <c r="D413" s="99">
        <v>229</v>
      </c>
      <c r="E413" s="163">
        <f t="shared" si="163"/>
        <v>45.659388646288207</v>
      </c>
      <c r="F413" s="98">
        <v>11914</v>
      </c>
      <c r="G413" s="99">
        <v>376</v>
      </c>
      <c r="H413" s="164">
        <f t="shared" si="164"/>
        <v>31.686170212765958</v>
      </c>
      <c r="I413" s="165">
        <f t="shared" si="165"/>
        <v>22370</v>
      </c>
      <c r="J413" s="165">
        <f t="shared" si="166"/>
        <v>605</v>
      </c>
      <c r="K413" s="166">
        <f t="shared" si="167"/>
        <v>36.97520661157025</v>
      </c>
      <c r="L413" s="118"/>
    </row>
    <row r="414" spans="1:12" s="74" customFormat="1">
      <c r="A414" s="19"/>
      <c r="B414" s="162" t="s">
        <v>21</v>
      </c>
      <c r="C414" s="98">
        <v>11280</v>
      </c>
      <c r="D414" s="99">
        <v>225</v>
      </c>
      <c r="E414" s="163">
        <f t="shared" si="163"/>
        <v>50.133333333333333</v>
      </c>
      <c r="F414" s="98">
        <v>6556</v>
      </c>
      <c r="G414" s="99">
        <v>189</v>
      </c>
      <c r="H414" s="164">
        <f t="shared" si="164"/>
        <v>34.68783068783069</v>
      </c>
      <c r="I414" s="165">
        <f t="shared" si="165"/>
        <v>17836</v>
      </c>
      <c r="J414" s="165">
        <f t="shared" si="166"/>
        <v>414</v>
      </c>
      <c r="K414" s="166">
        <f t="shared" si="167"/>
        <v>43.082125603864732</v>
      </c>
      <c r="L414" s="118"/>
    </row>
    <row r="415" spans="1:12" s="74" customFormat="1">
      <c r="A415" s="19"/>
      <c r="B415" s="162" t="s">
        <v>13</v>
      </c>
      <c r="C415" s="98">
        <v>63537</v>
      </c>
      <c r="D415" s="99">
        <v>1617</v>
      </c>
      <c r="E415" s="163">
        <f t="shared" si="163"/>
        <v>39.293135435992582</v>
      </c>
      <c r="F415" s="98">
        <v>17699</v>
      </c>
      <c r="G415" s="99">
        <v>658</v>
      </c>
      <c r="H415" s="164">
        <f t="shared" si="164"/>
        <v>26.898176291793312</v>
      </c>
      <c r="I415" s="165">
        <f t="shared" si="165"/>
        <v>81236</v>
      </c>
      <c r="J415" s="165">
        <f t="shared" si="166"/>
        <v>2275</v>
      </c>
      <c r="K415" s="166">
        <f t="shared" si="167"/>
        <v>35.708131868131865</v>
      </c>
      <c r="L415" s="118"/>
    </row>
    <row r="416" spans="1:12" s="74" customFormat="1">
      <c r="A416" s="19"/>
      <c r="B416" s="167"/>
      <c r="C416" s="100"/>
      <c r="D416" s="101"/>
      <c r="E416" s="168"/>
      <c r="F416" s="100"/>
      <c r="G416" s="101"/>
      <c r="H416" s="169"/>
      <c r="I416" s="155"/>
      <c r="J416" s="155"/>
      <c r="K416" s="170"/>
      <c r="L416" s="118"/>
    </row>
    <row r="417" spans="1:12" ht="12.75" customHeight="1">
      <c r="B417" s="124" t="s">
        <v>81</v>
      </c>
      <c r="C417" s="154">
        <f>C419+C422+C423</f>
        <v>115023</v>
      </c>
      <c r="D417" s="154">
        <f>D419+D422+D423</f>
        <v>2685</v>
      </c>
      <c r="E417" s="127">
        <f>C417/D417</f>
        <v>42.839106145251399</v>
      </c>
      <c r="F417" s="154">
        <f>F419+F422+F423</f>
        <v>55930</v>
      </c>
      <c r="G417" s="154">
        <f>G419+G422+G423</f>
        <v>1906</v>
      </c>
      <c r="H417" s="128">
        <f>F417/G417</f>
        <v>29.344176285414481</v>
      </c>
      <c r="I417" s="129">
        <f>C417+F417</f>
        <v>170953</v>
      </c>
      <c r="J417" s="129">
        <f>D417+G417</f>
        <v>4591</v>
      </c>
      <c r="K417" s="130">
        <f>I417/J417</f>
        <v>37.236549771291656</v>
      </c>
    </row>
    <row r="418" spans="1:12" s="74" customFormat="1">
      <c r="A418" s="19"/>
      <c r="B418" s="198" t="s">
        <v>78</v>
      </c>
      <c r="C418" s="98"/>
      <c r="D418" s="98"/>
      <c r="E418" s="163"/>
      <c r="F418" s="98"/>
      <c r="G418" s="98"/>
      <c r="H418" s="164"/>
      <c r="I418" s="165"/>
      <c r="J418" s="165"/>
      <c r="K418" s="166"/>
      <c r="L418" s="118"/>
    </row>
    <row r="419" spans="1:12" s="74" customFormat="1">
      <c r="A419" s="19"/>
      <c r="B419" s="124" t="s">
        <v>83</v>
      </c>
      <c r="C419" s="154">
        <f>SUM(C410:C416)</f>
        <v>103784</v>
      </c>
      <c r="D419" s="125">
        <f>SUM(D410:D416)</f>
        <v>2428</v>
      </c>
      <c r="E419" s="127"/>
      <c r="F419" s="125">
        <f>SUM(F410:F415)</f>
        <v>53139</v>
      </c>
      <c r="G419" s="125">
        <f>SUM(G410:G415)</f>
        <v>1783</v>
      </c>
      <c r="H419" s="128"/>
      <c r="I419" s="129">
        <f>C419+F419</f>
        <v>156923</v>
      </c>
      <c r="J419" s="129">
        <f>D419+G419</f>
        <v>4211</v>
      </c>
      <c r="K419" s="130"/>
      <c r="L419" s="118"/>
    </row>
    <row r="420" spans="1:12" s="74" customFormat="1">
      <c r="A420" s="19"/>
      <c r="B420" s="191" t="s">
        <v>80</v>
      </c>
      <c r="C420" s="100"/>
      <c r="D420" s="100"/>
      <c r="E420" s="214"/>
      <c r="F420" s="100"/>
      <c r="G420" s="100"/>
      <c r="H420" s="214"/>
      <c r="I420" s="155"/>
      <c r="J420" s="155"/>
      <c r="K420" s="156"/>
      <c r="L420" s="118"/>
    </row>
    <row r="421" spans="1:12" s="74" customFormat="1">
      <c r="A421" s="19"/>
      <c r="B421" s="191"/>
      <c r="C421" s="183"/>
      <c r="D421" s="183"/>
      <c r="E421" s="215"/>
      <c r="F421" s="183"/>
      <c r="G421" s="183"/>
      <c r="H421" s="215"/>
      <c r="I421" s="184"/>
      <c r="J421" s="184"/>
      <c r="K421"/>
      <c r="L421" s="118"/>
    </row>
    <row r="422" spans="1:12">
      <c r="A422" s="19"/>
      <c r="B422" s="20" t="s">
        <v>23</v>
      </c>
      <c r="C422" s="96">
        <v>3700</v>
      </c>
      <c r="D422" s="97">
        <v>47</v>
      </c>
      <c r="E422" s="63">
        <f>C422/D422</f>
        <v>78.723404255319153</v>
      </c>
      <c r="F422" s="110">
        <v>0</v>
      </c>
      <c r="G422" s="111">
        <v>0</v>
      </c>
      <c r="H422" s="63"/>
      <c r="I422" s="119">
        <f t="shared" ref="I422:I423" si="168">C422+F422</f>
        <v>3700</v>
      </c>
      <c r="J422" s="119">
        <f t="shared" ref="J422:J423" si="169">D422+G422</f>
        <v>47</v>
      </c>
      <c r="K422" s="63">
        <f>I422/J422</f>
        <v>78.723404255319153</v>
      </c>
    </row>
    <row r="423" spans="1:12">
      <c r="A423" s="19"/>
      <c r="B423" s="20" t="s">
        <v>24</v>
      </c>
      <c r="C423" s="96">
        <v>7539</v>
      </c>
      <c r="D423" s="97">
        <v>210</v>
      </c>
      <c r="E423" s="63">
        <f>C423/D423</f>
        <v>35.9</v>
      </c>
      <c r="F423" s="103">
        <v>2791</v>
      </c>
      <c r="G423" s="104">
        <v>123</v>
      </c>
      <c r="H423" s="63">
        <f>F423/G423</f>
        <v>22.691056910569106</v>
      </c>
      <c r="I423" s="119">
        <f t="shared" si="168"/>
        <v>10330</v>
      </c>
      <c r="J423" s="119">
        <f t="shared" si="169"/>
        <v>333</v>
      </c>
      <c r="K423" s="63">
        <f>I423/J423</f>
        <v>31.021021021021021</v>
      </c>
    </row>
    <row r="424" spans="1:12" ht="4.5" customHeight="1">
      <c r="A424" s="67"/>
      <c r="C424" s="102"/>
      <c r="D424" s="102"/>
    </row>
    <row r="425" spans="1:12" ht="4.5" customHeight="1">
      <c r="C425" s="102"/>
      <c r="D425" s="102"/>
    </row>
    <row r="426" spans="1:12">
      <c r="B426" s="75"/>
      <c r="C426" s="75"/>
      <c r="D426" s="75"/>
      <c r="E426" s="75"/>
      <c r="F426" s="75"/>
      <c r="G426" s="75"/>
      <c r="H426" s="75"/>
      <c r="I426" s="75"/>
      <c r="J426" s="75"/>
      <c r="K426" s="75"/>
    </row>
    <row r="427" spans="1:12" hidden="1"/>
    <row r="428" spans="1:12">
      <c r="B428" s="16" t="s">
        <v>30</v>
      </c>
      <c r="C428" s="76" t="s">
        <v>2</v>
      </c>
      <c r="D428" s="77" t="s">
        <v>2</v>
      </c>
      <c r="E428" s="31"/>
      <c r="F428" s="76" t="s">
        <v>3</v>
      </c>
      <c r="G428" s="78" t="s">
        <v>3</v>
      </c>
      <c r="H428" s="33"/>
      <c r="I428" s="80" t="s">
        <v>4</v>
      </c>
      <c r="J428" s="80" t="s">
        <v>4</v>
      </c>
      <c r="K428" s="28"/>
    </row>
    <row r="429" spans="1:12">
      <c r="A429" s="28"/>
      <c r="B429" s="28"/>
      <c r="C429" s="76" t="s">
        <v>5</v>
      </c>
      <c r="D429" s="77" t="s">
        <v>6</v>
      </c>
      <c r="E429" s="21" t="s">
        <v>7</v>
      </c>
      <c r="F429" s="79" t="s">
        <v>5</v>
      </c>
      <c r="G429" s="78" t="s">
        <v>6</v>
      </c>
      <c r="H429" s="22" t="s">
        <v>8</v>
      </c>
      <c r="I429" s="80" t="s">
        <v>5</v>
      </c>
      <c r="J429" s="80" t="s">
        <v>6</v>
      </c>
      <c r="K429" s="16" t="s">
        <v>8</v>
      </c>
    </row>
    <row r="430" spans="1:12">
      <c r="A430" s="28"/>
      <c r="B430" s="37" t="s">
        <v>9</v>
      </c>
      <c r="C430" s="38">
        <f>8151+6702</f>
        <v>14853</v>
      </c>
      <c r="D430" s="39">
        <f>169+255</f>
        <v>424</v>
      </c>
      <c r="E430" s="40">
        <f t="shared" ref="E430:E435" si="170">C430/D430</f>
        <v>35.030660377358494</v>
      </c>
      <c r="F430" s="38">
        <f>794+251</f>
        <v>1045</v>
      </c>
      <c r="G430" s="39">
        <f>87+26</f>
        <v>113</v>
      </c>
      <c r="H430" s="41">
        <f t="shared" ref="H430:H435" si="171">F430/G430</f>
        <v>9.2477876106194685</v>
      </c>
      <c r="I430" s="42">
        <f t="shared" ref="I430:J435" si="172">C430+F430</f>
        <v>15898</v>
      </c>
      <c r="J430" s="42">
        <f t="shared" si="172"/>
        <v>537</v>
      </c>
      <c r="K430" s="43">
        <f t="shared" ref="K430:K435" si="173">I430/J430</f>
        <v>29.605214152700185</v>
      </c>
    </row>
    <row r="431" spans="1:12">
      <c r="A431" s="36"/>
      <c r="B431" s="45" t="s">
        <v>10</v>
      </c>
      <c r="C431" s="46">
        <f>4067+6740</f>
        <v>10807</v>
      </c>
      <c r="D431" s="47">
        <f>47+136</f>
        <v>183</v>
      </c>
      <c r="E431" s="48">
        <f t="shared" si="170"/>
        <v>59.05464480874317</v>
      </c>
      <c r="F431" s="46">
        <f>613+91</f>
        <v>704</v>
      </c>
      <c r="G431" s="47">
        <f>24+10</f>
        <v>34</v>
      </c>
      <c r="H431" s="49">
        <f t="shared" si="171"/>
        <v>20.705882352941178</v>
      </c>
      <c r="I431" s="50">
        <f t="shared" si="172"/>
        <v>11511</v>
      </c>
      <c r="J431" s="50">
        <f t="shared" si="172"/>
        <v>217</v>
      </c>
      <c r="K431" s="51">
        <f t="shared" si="173"/>
        <v>53.046082949308754</v>
      </c>
    </row>
    <row r="432" spans="1:12">
      <c r="A432" s="44"/>
      <c r="B432" s="45" t="s">
        <v>11</v>
      </c>
      <c r="C432" s="46">
        <f>4931+2984</f>
        <v>7915</v>
      </c>
      <c r="D432" s="47">
        <f>130+138</f>
        <v>268</v>
      </c>
      <c r="E432" s="48">
        <f t="shared" si="170"/>
        <v>29.53358208955224</v>
      </c>
      <c r="F432" s="46">
        <f>479+137</f>
        <v>616</v>
      </c>
      <c r="G432" s="47">
        <f>65+9</f>
        <v>74</v>
      </c>
      <c r="H432" s="49">
        <f t="shared" si="171"/>
        <v>8.3243243243243246</v>
      </c>
      <c r="I432" s="50">
        <f t="shared" si="172"/>
        <v>8531</v>
      </c>
      <c r="J432" s="50">
        <f t="shared" si="172"/>
        <v>342</v>
      </c>
      <c r="K432" s="51">
        <f t="shared" si="173"/>
        <v>24.944444444444443</v>
      </c>
    </row>
    <row r="433" spans="1:11">
      <c r="A433" s="44"/>
      <c r="B433" s="45" t="s">
        <v>12</v>
      </c>
      <c r="C433" s="46">
        <f>9762+11024</f>
        <v>20786</v>
      </c>
      <c r="D433" s="47">
        <f>223+349</f>
        <v>572</v>
      </c>
      <c r="E433" s="48">
        <f t="shared" si="170"/>
        <v>36.33916083916084</v>
      </c>
      <c r="F433" s="46">
        <f>1557+215</f>
        <v>1772</v>
      </c>
      <c r="G433" s="47">
        <f>128+6</f>
        <v>134</v>
      </c>
      <c r="H433" s="49">
        <f t="shared" si="171"/>
        <v>13.223880597014926</v>
      </c>
      <c r="I433" s="50">
        <f t="shared" si="172"/>
        <v>22558</v>
      </c>
      <c r="J433" s="50">
        <f t="shared" si="172"/>
        <v>706</v>
      </c>
      <c r="K433" s="51">
        <f t="shared" si="173"/>
        <v>31.951841359773372</v>
      </c>
    </row>
    <row r="434" spans="1:11">
      <c r="A434" s="44"/>
      <c r="B434" s="45" t="s">
        <v>21</v>
      </c>
      <c r="C434" s="46">
        <f>10030+5932</f>
        <v>15962</v>
      </c>
      <c r="D434" s="47">
        <f>210+181</f>
        <v>391</v>
      </c>
      <c r="E434" s="48">
        <f t="shared" si="170"/>
        <v>40.823529411764703</v>
      </c>
      <c r="F434" s="46">
        <f>1082+295</f>
        <v>1377</v>
      </c>
      <c r="G434" s="47">
        <f>108+28</f>
        <v>136</v>
      </c>
      <c r="H434" s="49">
        <f t="shared" si="171"/>
        <v>10.125</v>
      </c>
      <c r="I434" s="50">
        <f t="shared" si="172"/>
        <v>17339</v>
      </c>
      <c r="J434" s="50">
        <f t="shared" si="172"/>
        <v>527</v>
      </c>
      <c r="K434" s="51">
        <f t="shared" si="173"/>
        <v>32.901328273244779</v>
      </c>
    </row>
    <row r="435" spans="1:11">
      <c r="A435" s="44"/>
      <c r="B435" s="45" t="s">
        <v>13</v>
      </c>
      <c r="C435" s="46">
        <f>61733+17313</f>
        <v>79046</v>
      </c>
      <c r="D435" s="47">
        <f>1544+626</f>
        <v>2170</v>
      </c>
      <c r="E435" s="48">
        <f t="shared" si="170"/>
        <v>36.426728110599079</v>
      </c>
      <c r="F435" s="46">
        <f>2106+724</f>
        <v>2830</v>
      </c>
      <c r="G435" s="47">
        <f>172+50</f>
        <v>222</v>
      </c>
      <c r="H435" s="49">
        <f t="shared" si="171"/>
        <v>12.747747747747749</v>
      </c>
      <c r="I435" s="50">
        <f t="shared" si="172"/>
        <v>81876</v>
      </c>
      <c r="J435" s="50">
        <f t="shared" si="172"/>
        <v>2392</v>
      </c>
      <c r="K435" s="51">
        <f t="shared" si="173"/>
        <v>34.229096989966557</v>
      </c>
    </row>
    <row r="436" spans="1:11">
      <c r="A436" s="44"/>
      <c r="B436" s="53"/>
      <c r="C436" s="54"/>
      <c r="D436" s="55"/>
      <c r="E436" s="56"/>
      <c r="F436" s="54"/>
      <c r="G436" s="55"/>
      <c r="H436" s="57"/>
      <c r="I436" s="58"/>
      <c r="J436" s="58"/>
      <c r="K436" s="59"/>
    </row>
    <row r="437" spans="1:11" ht="25.5">
      <c r="A437" s="52"/>
      <c r="B437" s="20" t="s">
        <v>14</v>
      </c>
      <c r="C437" s="60">
        <f>C447-C442</f>
        <v>163114</v>
      </c>
      <c r="D437" s="60">
        <f>D447-D442</f>
        <v>4360</v>
      </c>
      <c r="E437" s="40">
        <f>C437/D437</f>
        <v>37.411467889908259</v>
      </c>
      <c r="F437" s="81">
        <f>F447-F442</f>
        <v>8902</v>
      </c>
      <c r="G437" s="81">
        <f>G447-G442</f>
        <v>763</v>
      </c>
      <c r="H437" s="41">
        <f>F437/G437</f>
        <v>11.667103538663172</v>
      </c>
      <c r="I437" s="42">
        <f>C437+F437</f>
        <v>172016</v>
      </c>
      <c r="J437" s="42">
        <f>D437+G437</f>
        <v>5123</v>
      </c>
      <c r="K437" s="43">
        <f>I437/J437</f>
        <v>33.577200858871755</v>
      </c>
    </row>
    <row r="438" spans="1:11">
      <c r="A438" s="19"/>
      <c r="C438" s="14"/>
      <c r="G438" s="62"/>
    </row>
    <row r="442" spans="1:11">
      <c r="B442" s="20" t="s">
        <v>22</v>
      </c>
      <c r="C442" s="38">
        <v>5776</v>
      </c>
      <c r="D442" s="39">
        <v>115</v>
      </c>
      <c r="E442" s="63">
        <f>C442/D442</f>
        <v>50.22608695652174</v>
      </c>
      <c r="F442" s="38">
        <v>103</v>
      </c>
      <c r="G442" s="39">
        <v>17</v>
      </c>
      <c r="H442" s="63">
        <f>F442/G442</f>
        <v>6.0588235294117645</v>
      </c>
      <c r="I442" s="42">
        <f t="shared" ref="I442:J444" si="174">C442+F442</f>
        <v>5879</v>
      </c>
      <c r="J442" s="42">
        <f t="shared" si="174"/>
        <v>132</v>
      </c>
      <c r="K442" s="64">
        <f>I442/J442</f>
        <v>44.537878787878789</v>
      </c>
    </row>
    <row r="443" spans="1:11">
      <c r="A443" s="19"/>
      <c r="B443" s="20" t="s">
        <v>23</v>
      </c>
      <c r="C443" s="38">
        <v>3769</v>
      </c>
      <c r="D443" s="39">
        <v>47</v>
      </c>
      <c r="E443" s="63">
        <f>C443/D443</f>
        <v>80.191489361702125</v>
      </c>
      <c r="F443" s="65">
        <v>0</v>
      </c>
      <c r="G443" s="66">
        <v>0</v>
      </c>
      <c r="H443" s="63"/>
      <c r="I443" s="42">
        <f t="shared" si="174"/>
        <v>3769</v>
      </c>
      <c r="J443" s="42">
        <f t="shared" si="174"/>
        <v>47</v>
      </c>
      <c r="K443" s="64">
        <f>I443/J443</f>
        <v>80.191489361702125</v>
      </c>
    </row>
    <row r="444" spans="1:11">
      <c r="A444" s="19"/>
      <c r="B444" s="20" t="s">
        <v>24</v>
      </c>
      <c r="C444" s="38">
        <f>7268+2708</f>
        <v>9976</v>
      </c>
      <c r="D444" s="39">
        <f>193+112</f>
        <v>305</v>
      </c>
      <c r="E444" s="63">
        <f>C444/D444</f>
        <v>32.708196721311474</v>
      </c>
      <c r="F444" s="38">
        <f>267+291</f>
        <v>558</v>
      </c>
      <c r="G444" s="39">
        <f>32+18</f>
        <v>50</v>
      </c>
      <c r="H444" s="63">
        <f>F444/G444</f>
        <v>11.16</v>
      </c>
      <c r="I444" s="42">
        <f t="shared" si="174"/>
        <v>10534</v>
      </c>
      <c r="J444" s="42">
        <f t="shared" si="174"/>
        <v>355</v>
      </c>
      <c r="K444" s="64">
        <f>I444/J444</f>
        <v>29.673239436619717</v>
      </c>
    </row>
    <row r="445" spans="1:11">
      <c r="A445" s="19"/>
      <c r="B445" s="20"/>
      <c r="C445" s="38"/>
      <c r="D445" s="39"/>
      <c r="E445" s="63"/>
      <c r="F445" s="38"/>
      <c r="G445" s="39"/>
      <c r="H445" s="63"/>
      <c r="I445" s="42"/>
      <c r="J445" s="42"/>
      <c r="K445" s="64"/>
    </row>
    <row r="446" spans="1:11">
      <c r="A446" s="19"/>
      <c r="B446" s="20"/>
      <c r="C446" s="38"/>
      <c r="D446" s="39"/>
      <c r="E446" s="63"/>
      <c r="F446" s="38"/>
      <c r="G446" s="39"/>
      <c r="H446" s="63"/>
      <c r="I446" s="42"/>
      <c r="J446" s="42"/>
      <c r="K446" s="64"/>
    </row>
    <row r="447" spans="1:11" s="74" customFormat="1">
      <c r="A447" s="19"/>
      <c r="B447" s="68" t="s">
        <v>25</v>
      </c>
      <c r="C447" s="69">
        <f>109711+59179</f>
        <v>168890</v>
      </c>
      <c r="D447" s="70">
        <f>2563+1912</f>
        <v>4475</v>
      </c>
      <c r="E447" s="71">
        <f>C447/D447</f>
        <v>37.740782122905031</v>
      </c>
      <c r="F447" s="70">
        <f>6969+2036</f>
        <v>9005</v>
      </c>
      <c r="G447" s="70">
        <f>628+152</f>
        <v>780</v>
      </c>
      <c r="H447" s="71">
        <f>F447/G447</f>
        <v>11.544871794871796</v>
      </c>
      <c r="I447" s="72">
        <f>C447+F447</f>
        <v>177895</v>
      </c>
      <c r="J447" s="72">
        <f>D447+G447</f>
        <v>5255</v>
      </c>
      <c r="K447" s="73">
        <f>I447/J447</f>
        <v>33.852521408182682</v>
      </c>
    </row>
    <row r="448" spans="1:11" ht="4.5" customHeight="1">
      <c r="A448" s="67"/>
    </row>
    <row r="449" spans="1:11" ht="4.5" customHeight="1"/>
    <row r="450" spans="1:11">
      <c r="B450" s="75"/>
      <c r="C450" s="75"/>
      <c r="D450" s="75"/>
      <c r="E450" s="75"/>
      <c r="F450" s="75"/>
      <c r="G450" s="75"/>
      <c r="H450" s="75"/>
      <c r="I450" s="75"/>
      <c r="J450" s="75"/>
      <c r="K450" s="75"/>
    </row>
    <row r="451" spans="1:11" ht="0.75" customHeight="1"/>
    <row r="452" spans="1:11" ht="0.75" customHeight="1"/>
    <row r="453" spans="1:11" ht="0.75" customHeight="1">
      <c r="B453" s="26"/>
      <c r="C453" s="26"/>
      <c r="D453" s="26"/>
      <c r="E453" s="26"/>
      <c r="F453" s="26"/>
      <c r="G453" s="26"/>
      <c r="H453" s="26"/>
      <c r="I453" s="26"/>
      <c r="J453" s="24"/>
      <c r="K453" s="24"/>
    </row>
    <row r="454" spans="1:11" ht="0.75" customHeight="1">
      <c r="A454" s="26"/>
      <c r="B454" s="26"/>
      <c r="C454" s="26"/>
      <c r="D454" s="26"/>
      <c r="E454" s="26"/>
      <c r="F454" s="26"/>
      <c r="G454" s="26"/>
      <c r="H454" s="26"/>
      <c r="I454" s="26"/>
      <c r="J454" s="24"/>
      <c r="K454" s="24"/>
    </row>
    <row r="455" spans="1:11">
      <c r="A455" s="26"/>
      <c r="B455" s="16" t="s">
        <v>29</v>
      </c>
      <c r="C455" s="76" t="s">
        <v>2</v>
      </c>
      <c r="D455" s="77" t="s">
        <v>2</v>
      </c>
      <c r="E455" s="31"/>
      <c r="F455" s="76" t="s">
        <v>3</v>
      </c>
      <c r="G455" s="78" t="s">
        <v>3</v>
      </c>
      <c r="H455" s="33"/>
      <c r="I455" s="80" t="s">
        <v>4</v>
      </c>
      <c r="J455" s="80" t="s">
        <v>4</v>
      </c>
      <c r="K455" s="28"/>
    </row>
    <row r="456" spans="1:11">
      <c r="A456" s="28"/>
      <c r="B456" s="28"/>
      <c r="C456" s="76" t="s">
        <v>5</v>
      </c>
      <c r="D456" s="77" t="s">
        <v>6</v>
      </c>
      <c r="E456" s="21" t="s">
        <v>7</v>
      </c>
      <c r="F456" s="79" t="s">
        <v>5</v>
      </c>
      <c r="G456" s="78" t="s">
        <v>6</v>
      </c>
      <c r="H456" s="22" t="s">
        <v>8</v>
      </c>
      <c r="I456" s="80" t="s">
        <v>5</v>
      </c>
      <c r="J456" s="80" t="s">
        <v>6</v>
      </c>
      <c r="K456" s="16" t="s">
        <v>8</v>
      </c>
    </row>
    <row r="457" spans="1:11">
      <c r="A457" s="28"/>
      <c r="B457" s="37" t="s">
        <v>9</v>
      </c>
      <c r="C457" s="38">
        <f>7597+6450</f>
        <v>14047</v>
      </c>
      <c r="D457" s="39">
        <f>158+237</f>
        <v>395</v>
      </c>
      <c r="E457" s="40">
        <f t="shared" ref="E457:E462" si="175">C457/D457</f>
        <v>35.562025316455696</v>
      </c>
      <c r="F457" s="38">
        <f>708+292</f>
        <v>1000</v>
      </c>
      <c r="G457" s="39">
        <f>78+29</f>
        <v>107</v>
      </c>
      <c r="H457" s="41">
        <f t="shared" ref="H457:H462" si="176">F457/G457</f>
        <v>9.3457943925233646</v>
      </c>
      <c r="I457" s="42">
        <f t="shared" ref="I457:J462" si="177">C457+F457</f>
        <v>15047</v>
      </c>
      <c r="J457" s="42">
        <f t="shared" si="177"/>
        <v>502</v>
      </c>
      <c r="K457" s="43">
        <f t="shared" ref="K457:K462" si="178">I457/J457</f>
        <v>29.974103585657371</v>
      </c>
    </row>
    <row r="458" spans="1:11">
      <c r="A458" s="36"/>
      <c r="B458" s="45" t="s">
        <v>10</v>
      </c>
      <c r="C458" s="46">
        <f>3205+6577</f>
        <v>9782</v>
      </c>
      <c r="D458" s="47">
        <f>36+138</f>
        <v>174</v>
      </c>
      <c r="E458" s="48">
        <f t="shared" si="175"/>
        <v>56.218390804597703</v>
      </c>
      <c r="F458" s="46">
        <f>658+80</f>
        <v>738</v>
      </c>
      <c r="G458" s="47">
        <f>28+6</f>
        <v>34</v>
      </c>
      <c r="H458" s="49">
        <f t="shared" si="176"/>
        <v>21.705882352941178</v>
      </c>
      <c r="I458" s="50">
        <f t="shared" si="177"/>
        <v>10520</v>
      </c>
      <c r="J458" s="50">
        <f t="shared" si="177"/>
        <v>208</v>
      </c>
      <c r="K458" s="51">
        <f t="shared" si="178"/>
        <v>50.57692307692308</v>
      </c>
    </row>
    <row r="459" spans="1:11">
      <c r="A459" s="44"/>
      <c r="B459" s="45" t="s">
        <v>11</v>
      </c>
      <c r="C459" s="46">
        <f>4969+2910</f>
        <v>7879</v>
      </c>
      <c r="D459" s="47">
        <f>128+129</f>
        <v>257</v>
      </c>
      <c r="E459" s="48">
        <f t="shared" si="175"/>
        <v>30.657587548638134</v>
      </c>
      <c r="F459" s="46">
        <f>490+149</f>
        <v>639</v>
      </c>
      <c r="G459" s="47">
        <f>63+7</f>
        <v>70</v>
      </c>
      <c r="H459" s="49">
        <f t="shared" si="176"/>
        <v>9.1285714285714281</v>
      </c>
      <c r="I459" s="50">
        <f t="shared" si="177"/>
        <v>8518</v>
      </c>
      <c r="J459" s="50">
        <f t="shared" si="177"/>
        <v>327</v>
      </c>
      <c r="K459" s="51">
        <f t="shared" si="178"/>
        <v>26.048929663608561</v>
      </c>
    </row>
    <row r="460" spans="1:11">
      <c r="A460" s="44"/>
      <c r="B460" s="45" t="s">
        <v>12</v>
      </c>
      <c r="C460" s="46">
        <f>8912+10430</f>
        <v>19342</v>
      </c>
      <c r="D460" s="47">
        <f>208+346</f>
        <v>554</v>
      </c>
      <c r="E460" s="48">
        <f t="shared" si="175"/>
        <v>34.91335740072202</v>
      </c>
      <c r="F460" s="46">
        <f>1529+213</f>
        <v>1742</v>
      </c>
      <c r="G460" s="47">
        <f>123+9</f>
        <v>132</v>
      </c>
      <c r="H460" s="49">
        <f t="shared" si="176"/>
        <v>13.196969696969697</v>
      </c>
      <c r="I460" s="50">
        <f t="shared" si="177"/>
        <v>21084</v>
      </c>
      <c r="J460" s="50">
        <f t="shared" si="177"/>
        <v>686</v>
      </c>
      <c r="K460" s="51">
        <f t="shared" si="178"/>
        <v>30.73469387755102</v>
      </c>
    </row>
    <row r="461" spans="1:11">
      <c r="A461" s="44"/>
      <c r="B461" s="45" t="s">
        <v>21</v>
      </c>
      <c r="C461" s="46">
        <f>9246+5680</f>
        <v>14926</v>
      </c>
      <c r="D461" s="47">
        <f>239+184</f>
        <v>423</v>
      </c>
      <c r="E461" s="48">
        <f t="shared" si="175"/>
        <v>35.286052009456263</v>
      </c>
      <c r="F461" s="46">
        <f>1070+292</f>
        <v>1362</v>
      </c>
      <c r="G461" s="47">
        <f>102+30</f>
        <v>132</v>
      </c>
      <c r="H461" s="49">
        <f t="shared" si="176"/>
        <v>10.318181818181818</v>
      </c>
      <c r="I461" s="50">
        <f t="shared" si="177"/>
        <v>16288</v>
      </c>
      <c r="J461" s="50">
        <f t="shared" si="177"/>
        <v>555</v>
      </c>
      <c r="K461" s="51">
        <f t="shared" si="178"/>
        <v>29.347747747747746</v>
      </c>
    </row>
    <row r="462" spans="1:11">
      <c r="A462" s="44"/>
      <c r="B462" s="45" t="s">
        <v>13</v>
      </c>
      <c r="C462" s="46">
        <f>60552+16482</f>
        <v>77034</v>
      </c>
      <c r="D462" s="47">
        <f>1537+604</f>
        <v>2141</v>
      </c>
      <c r="E462" s="48">
        <f t="shared" si="175"/>
        <v>35.980382998598785</v>
      </c>
      <c r="F462" s="46">
        <f>2073+723</f>
        <v>2796</v>
      </c>
      <c r="G462" s="47">
        <f>163+52</f>
        <v>215</v>
      </c>
      <c r="H462" s="49">
        <f t="shared" si="176"/>
        <v>13.004651162790697</v>
      </c>
      <c r="I462" s="50">
        <f t="shared" si="177"/>
        <v>79830</v>
      </c>
      <c r="J462" s="50">
        <f t="shared" si="177"/>
        <v>2356</v>
      </c>
      <c r="K462" s="51">
        <f t="shared" si="178"/>
        <v>33.883701188455007</v>
      </c>
    </row>
    <row r="463" spans="1:11">
      <c r="A463" s="44"/>
      <c r="B463" s="53"/>
      <c r="C463" s="54"/>
      <c r="D463" s="55"/>
      <c r="E463" s="56"/>
      <c r="F463" s="54"/>
      <c r="G463" s="55"/>
      <c r="H463" s="57"/>
      <c r="I463" s="58"/>
      <c r="J463" s="58"/>
      <c r="K463" s="59"/>
    </row>
    <row r="464" spans="1:11" ht="25.5">
      <c r="A464" s="52"/>
      <c r="B464" s="20" t="s">
        <v>14</v>
      </c>
      <c r="C464" s="60">
        <f>C474-C469</f>
        <v>155734</v>
      </c>
      <c r="D464" s="60">
        <f>D474-D469</f>
        <v>4275</v>
      </c>
      <c r="E464" s="40">
        <f>C464/D464</f>
        <v>36.429005847953214</v>
      </c>
      <c r="F464" s="60">
        <f>F474-F469</f>
        <v>8968</v>
      </c>
      <c r="G464" s="60">
        <f>G474-G469</f>
        <v>749</v>
      </c>
      <c r="H464" s="41">
        <f>F464/G464</f>
        <v>11.973297730307076</v>
      </c>
      <c r="I464" s="42">
        <f>C464+F464</f>
        <v>164702</v>
      </c>
      <c r="J464" s="42">
        <f>D464+G464</f>
        <v>5024</v>
      </c>
      <c r="K464" s="43">
        <f>I464/J464</f>
        <v>32.783041401273884</v>
      </c>
    </row>
    <row r="465" spans="1:11">
      <c r="A465" s="19"/>
      <c r="C465" s="14"/>
      <c r="G465" s="62"/>
    </row>
    <row r="469" spans="1:11">
      <c r="B469" s="20" t="s">
        <v>22</v>
      </c>
      <c r="C469" s="38">
        <v>5553</v>
      </c>
      <c r="D469" s="39">
        <v>108</v>
      </c>
      <c r="E469" s="63">
        <f>C469/D469</f>
        <v>51.416666666666664</v>
      </c>
      <c r="F469" s="38">
        <f>54+39</f>
        <v>93</v>
      </c>
      <c r="G469" s="39">
        <f>12+7</f>
        <v>19</v>
      </c>
      <c r="H469" s="63">
        <f>F469/G469</f>
        <v>4.8947368421052628</v>
      </c>
      <c r="I469" s="42">
        <f t="shared" ref="I469:J471" si="179">C469+F469</f>
        <v>5646</v>
      </c>
      <c r="J469" s="42">
        <f t="shared" si="179"/>
        <v>127</v>
      </c>
      <c r="K469" s="64">
        <f>I469/J469</f>
        <v>44.45669291338583</v>
      </c>
    </row>
    <row r="470" spans="1:11">
      <c r="A470" s="19"/>
      <c r="B470" s="20" t="s">
        <v>23</v>
      </c>
      <c r="C470" s="38">
        <v>3730</v>
      </c>
      <c r="D470" s="39">
        <v>47</v>
      </c>
      <c r="E470" s="63">
        <f>C470/D470</f>
        <v>79.361702127659569</v>
      </c>
      <c r="F470" s="65">
        <v>0</v>
      </c>
      <c r="G470" s="66">
        <v>0</v>
      </c>
      <c r="H470" s="63"/>
      <c r="I470" s="42">
        <f t="shared" si="179"/>
        <v>3730</v>
      </c>
      <c r="J470" s="42">
        <f t="shared" si="179"/>
        <v>47</v>
      </c>
      <c r="K470" s="64">
        <f>I470/J470</f>
        <v>79.361702127659569</v>
      </c>
    </row>
    <row r="471" spans="1:11">
      <c r="A471" s="19"/>
      <c r="B471" s="20" t="s">
        <v>24</v>
      </c>
      <c r="C471" s="38">
        <f>6573+2421</f>
        <v>8994</v>
      </c>
      <c r="D471" s="39">
        <f>180+104</f>
        <v>284</v>
      </c>
      <c r="E471" s="63">
        <f>C471/D471</f>
        <v>31.669014084507044</v>
      </c>
      <c r="F471" s="38">
        <f>445+246</f>
        <v>691</v>
      </c>
      <c r="G471" s="39">
        <f>42+17</f>
        <v>59</v>
      </c>
      <c r="H471" s="63">
        <f>F471/G471</f>
        <v>11.711864406779661</v>
      </c>
      <c r="I471" s="42">
        <f t="shared" si="179"/>
        <v>9685</v>
      </c>
      <c r="J471" s="42">
        <f t="shared" si="179"/>
        <v>343</v>
      </c>
      <c r="K471" s="64">
        <f>I471/J471</f>
        <v>28.236151603498541</v>
      </c>
    </row>
    <row r="472" spans="1:11">
      <c r="A472" s="19"/>
      <c r="B472" s="20"/>
      <c r="C472" s="38"/>
      <c r="D472" s="39"/>
      <c r="E472" s="63"/>
      <c r="F472" s="38"/>
      <c r="G472" s="39"/>
      <c r="H472" s="63"/>
      <c r="I472" s="42"/>
      <c r="J472" s="42"/>
      <c r="K472" s="64"/>
    </row>
    <row r="473" spans="1:11">
      <c r="A473" s="19"/>
      <c r="B473" s="20"/>
      <c r="C473" s="38"/>
      <c r="D473" s="39"/>
      <c r="E473" s="63"/>
      <c r="F473" s="38"/>
      <c r="G473" s="39"/>
      <c r="H473" s="63"/>
      <c r="I473" s="42"/>
      <c r="J473" s="42"/>
      <c r="K473" s="64"/>
    </row>
    <row r="474" spans="1:11" s="74" customFormat="1">
      <c r="A474" s="19"/>
      <c r="B474" s="68" t="s">
        <v>25</v>
      </c>
      <c r="C474" s="69">
        <f>104784+56503</f>
        <v>161287</v>
      </c>
      <c r="D474" s="70">
        <f>2533+1850</f>
        <v>4383</v>
      </c>
      <c r="E474" s="71">
        <f>C474/D474</f>
        <v>36.798311658681271</v>
      </c>
      <c r="F474" s="70">
        <f>7027+2034</f>
        <v>9061</v>
      </c>
      <c r="G474" s="70">
        <f>611+157</f>
        <v>768</v>
      </c>
      <c r="H474" s="71">
        <f>F474/G474</f>
        <v>11.798177083333334</v>
      </c>
      <c r="I474" s="72">
        <f>C474+F474</f>
        <v>170348</v>
      </c>
      <c r="J474" s="72">
        <f>D474+G474</f>
        <v>5151</v>
      </c>
      <c r="K474" s="73">
        <f>I474/J474</f>
        <v>33.070860027179187</v>
      </c>
    </row>
    <row r="475" spans="1:11" ht="4.5" customHeight="1">
      <c r="A475" s="67"/>
    </row>
    <row r="476" spans="1:11" ht="4.5" customHeight="1"/>
    <row r="477" spans="1:11">
      <c r="B477" s="75"/>
      <c r="C477" s="75"/>
      <c r="D477" s="75"/>
      <c r="E477" s="75"/>
      <c r="F477" s="75"/>
      <c r="G477" s="75"/>
      <c r="H477" s="75"/>
      <c r="I477" s="75"/>
      <c r="J477" s="75"/>
      <c r="K477" s="75"/>
    </row>
    <row r="478" spans="1:11" ht="0.75" customHeight="1">
      <c r="B478" s="27"/>
      <c r="C478" s="27"/>
      <c r="D478" s="27"/>
      <c r="E478" s="27"/>
      <c r="F478" s="27"/>
      <c r="G478" s="27"/>
      <c r="H478" s="27"/>
      <c r="I478" s="27"/>
      <c r="J478" s="27"/>
      <c r="K478" s="27"/>
    </row>
    <row r="479" spans="1:11" ht="0.75" customHeight="1">
      <c r="A479" s="27"/>
      <c r="B479" s="27"/>
      <c r="C479" s="27"/>
      <c r="D479" s="27"/>
      <c r="E479" s="27"/>
      <c r="F479" s="27"/>
      <c r="G479" s="27"/>
      <c r="H479" s="27"/>
      <c r="I479" s="27"/>
      <c r="J479" s="27"/>
      <c r="K479" s="27"/>
    </row>
    <row r="480" spans="1:11" ht="0.75" customHeight="1">
      <c r="A480" s="27"/>
      <c r="B480" s="27"/>
      <c r="C480" s="27"/>
      <c r="D480" s="27"/>
      <c r="E480" s="27"/>
      <c r="F480" s="27"/>
      <c r="G480" s="27"/>
      <c r="H480" s="27"/>
      <c r="I480" s="27"/>
      <c r="J480" s="27"/>
      <c r="K480" s="27"/>
    </row>
    <row r="481" spans="1:11" ht="0.75" customHeight="1">
      <c r="A481" s="27"/>
      <c r="B481" s="27"/>
      <c r="C481" s="27"/>
      <c r="D481" s="27"/>
      <c r="E481" s="27"/>
      <c r="F481" s="27"/>
      <c r="G481" s="27"/>
      <c r="H481" s="27"/>
      <c r="I481" s="27"/>
      <c r="J481" s="27"/>
      <c r="K481" s="27"/>
    </row>
    <row r="482" spans="1:11" ht="0.75" customHeight="1">
      <c r="A482" s="27"/>
      <c r="B482" s="27"/>
      <c r="C482" s="27"/>
      <c r="D482" s="27"/>
      <c r="E482" s="27"/>
      <c r="F482" s="27"/>
      <c r="G482" s="27"/>
      <c r="H482" s="27"/>
      <c r="I482" s="27"/>
      <c r="J482" s="27"/>
      <c r="K482" s="27"/>
    </row>
    <row r="483" spans="1:11">
      <c r="A483" s="27"/>
      <c r="B483" s="16" t="s">
        <v>28</v>
      </c>
      <c r="C483" s="29" t="s">
        <v>2</v>
      </c>
      <c r="D483" s="30" t="s">
        <v>2</v>
      </c>
      <c r="E483" s="31"/>
      <c r="F483" s="29" t="s">
        <v>3</v>
      </c>
      <c r="G483" s="32" t="s">
        <v>3</v>
      </c>
      <c r="H483" s="33"/>
      <c r="I483" s="34" t="s">
        <v>4</v>
      </c>
      <c r="J483" s="34" t="s">
        <v>4</v>
      </c>
      <c r="K483" s="28"/>
    </row>
    <row r="484" spans="1:11">
      <c r="A484" s="28"/>
      <c r="B484" s="28"/>
      <c r="C484" s="29" t="s">
        <v>5</v>
      </c>
      <c r="D484" s="30" t="s">
        <v>6</v>
      </c>
      <c r="E484" s="21" t="s">
        <v>7</v>
      </c>
      <c r="F484" s="35" t="s">
        <v>5</v>
      </c>
      <c r="G484" s="32" t="s">
        <v>6</v>
      </c>
      <c r="H484" s="22" t="s">
        <v>8</v>
      </c>
      <c r="I484" s="34" t="s">
        <v>5</v>
      </c>
      <c r="J484" s="34" t="s">
        <v>6</v>
      </c>
      <c r="K484" s="16" t="s">
        <v>8</v>
      </c>
    </row>
    <row r="485" spans="1:11">
      <c r="A485" s="28"/>
      <c r="B485" s="37" t="s">
        <v>9</v>
      </c>
      <c r="C485" s="38">
        <f>7174+6161</f>
        <v>13335</v>
      </c>
      <c r="D485" s="39">
        <f>160+245</f>
        <v>405</v>
      </c>
      <c r="E485" s="40">
        <f t="shared" ref="E485:E490" si="180">C485/D485</f>
        <v>32.925925925925924</v>
      </c>
      <c r="F485" s="38">
        <f>766+301</f>
        <v>1067</v>
      </c>
      <c r="G485" s="39">
        <f>88+27</f>
        <v>115</v>
      </c>
      <c r="H485" s="41">
        <f t="shared" ref="H485:H490" si="181">F485/G485</f>
        <v>9.2782608695652176</v>
      </c>
      <c r="I485" s="42">
        <f t="shared" ref="I485:J490" si="182">C485+F485</f>
        <v>14402</v>
      </c>
      <c r="J485" s="42">
        <f t="shared" si="182"/>
        <v>520</v>
      </c>
      <c r="K485" s="43">
        <f t="shared" ref="K485:K490" si="183">I485/J485</f>
        <v>27.696153846153845</v>
      </c>
    </row>
    <row r="486" spans="1:11">
      <c r="A486" s="36"/>
      <c r="B486" s="45" t="s">
        <v>10</v>
      </c>
      <c r="C486" s="46">
        <f>3048+7081</f>
        <v>10129</v>
      </c>
      <c r="D486" s="47">
        <f>29+130</f>
        <v>159</v>
      </c>
      <c r="E486" s="48">
        <f t="shared" si="180"/>
        <v>63.704402515723274</v>
      </c>
      <c r="F486" s="46">
        <f>892+65</f>
        <v>957</v>
      </c>
      <c r="G486" s="47">
        <f>37+5</f>
        <v>42</v>
      </c>
      <c r="H486" s="49">
        <f t="shared" si="181"/>
        <v>22.785714285714285</v>
      </c>
      <c r="I486" s="50">
        <f t="shared" si="182"/>
        <v>11086</v>
      </c>
      <c r="J486" s="50">
        <f t="shared" si="182"/>
        <v>201</v>
      </c>
      <c r="K486" s="51">
        <f t="shared" si="183"/>
        <v>55.154228855721392</v>
      </c>
    </row>
    <row r="487" spans="1:11">
      <c r="A487" s="44"/>
      <c r="B487" s="45" t="s">
        <v>11</v>
      </c>
      <c r="C487" s="46">
        <f>4837+2736</f>
        <v>7573</v>
      </c>
      <c r="D487" s="47">
        <f>122+122</f>
        <v>244</v>
      </c>
      <c r="E487" s="48">
        <f t="shared" si="180"/>
        <v>31.03688524590164</v>
      </c>
      <c r="F487" s="46">
        <f>458+116</f>
        <v>574</v>
      </c>
      <c r="G487" s="47">
        <f>58+8</f>
        <v>66</v>
      </c>
      <c r="H487" s="49">
        <f t="shared" si="181"/>
        <v>8.6969696969696972</v>
      </c>
      <c r="I487" s="50">
        <f t="shared" si="182"/>
        <v>8147</v>
      </c>
      <c r="J487" s="50">
        <f t="shared" si="182"/>
        <v>310</v>
      </c>
      <c r="K487" s="51">
        <f t="shared" si="183"/>
        <v>26.280645161290323</v>
      </c>
    </row>
    <row r="488" spans="1:11">
      <c r="A488" s="44"/>
      <c r="B488" s="45" t="s">
        <v>12</v>
      </c>
      <c r="C488" s="46">
        <f>7890+10084</f>
        <v>17974</v>
      </c>
      <c r="D488" s="47">
        <f>202+338</f>
        <v>540</v>
      </c>
      <c r="E488" s="48">
        <f t="shared" si="180"/>
        <v>33.285185185185185</v>
      </c>
      <c r="F488" s="46">
        <f>1518+181</f>
        <v>1699</v>
      </c>
      <c r="G488" s="47">
        <f>124+8</f>
        <v>132</v>
      </c>
      <c r="H488" s="49">
        <f t="shared" si="181"/>
        <v>12.871212121212121</v>
      </c>
      <c r="I488" s="50">
        <f t="shared" si="182"/>
        <v>19673</v>
      </c>
      <c r="J488" s="50">
        <f t="shared" si="182"/>
        <v>672</v>
      </c>
      <c r="K488" s="51">
        <f t="shared" si="183"/>
        <v>29.27529761904762</v>
      </c>
    </row>
    <row r="489" spans="1:11">
      <c r="A489" s="44"/>
      <c r="B489" s="45" t="s">
        <v>21</v>
      </c>
      <c r="C489" s="46">
        <f>8927+5264</f>
        <v>14191</v>
      </c>
      <c r="D489" s="47">
        <f>242+190</f>
        <v>432</v>
      </c>
      <c r="E489" s="48">
        <f t="shared" si="180"/>
        <v>32.849537037037038</v>
      </c>
      <c r="F489" s="46">
        <f>1110+295</f>
        <v>1405</v>
      </c>
      <c r="G489" s="47">
        <f>107+29</f>
        <v>136</v>
      </c>
      <c r="H489" s="49">
        <f t="shared" si="181"/>
        <v>10.330882352941176</v>
      </c>
      <c r="I489" s="50">
        <f t="shared" si="182"/>
        <v>15596</v>
      </c>
      <c r="J489" s="50">
        <f t="shared" si="182"/>
        <v>568</v>
      </c>
      <c r="K489" s="51">
        <f t="shared" si="183"/>
        <v>27.45774647887324</v>
      </c>
    </row>
    <row r="490" spans="1:11">
      <c r="A490" s="44"/>
      <c r="B490" s="45" t="s">
        <v>13</v>
      </c>
      <c r="C490" s="46">
        <f>59477+15166</f>
        <v>74643</v>
      </c>
      <c r="D490" s="47">
        <f>1445+577</f>
        <v>2022</v>
      </c>
      <c r="E490" s="48">
        <f t="shared" si="180"/>
        <v>36.915430267062312</v>
      </c>
      <c r="F490" s="46">
        <f>2069+649</f>
        <v>2718</v>
      </c>
      <c r="G490" s="47">
        <f>159+53</f>
        <v>212</v>
      </c>
      <c r="H490" s="49">
        <f t="shared" si="181"/>
        <v>12.820754716981131</v>
      </c>
      <c r="I490" s="50">
        <f t="shared" si="182"/>
        <v>77361</v>
      </c>
      <c r="J490" s="50">
        <f t="shared" si="182"/>
        <v>2234</v>
      </c>
      <c r="K490" s="51">
        <f t="shared" si="183"/>
        <v>34.628916741271262</v>
      </c>
    </row>
    <row r="491" spans="1:11">
      <c r="A491" s="44"/>
      <c r="B491" s="53"/>
      <c r="C491" s="54"/>
      <c r="D491" s="55"/>
      <c r="E491" s="56"/>
      <c r="F491" s="54"/>
      <c r="G491" s="55"/>
      <c r="H491" s="57"/>
      <c r="I491" s="58"/>
      <c r="J491" s="58"/>
      <c r="K491" s="59"/>
    </row>
    <row r="492" spans="1:11" ht="25.5">
      <c r="A492" s="52"/>
      <c r="B492" s="20" t="s">
        <v>14</v>
      </c>
      <c r="C492" s="60">
        <f>(101396+54256)-C497</f>
        <v>150140</v>
      </c>
      <c r="D492" s="61">
        <f>(2427+1813)-D497</f>
        <v>4132</v>
      </c>
      <c r="E492" s="40">
        <f>C492/D492</f>
        <v>36.335914811229429</v>
      </c>
      <c r="F492" s="60">
        <f>(7258+1903)-F497</f>
        <v>9057</v>
      </c>
      <c r="G492" s="61">
        <f>(622+156)-G497</f>
        <v>756</v>
      </c>
      <c r="H492" s="41">
        <f>F492/G492</f>
        <v>11.980158730158729</v>
      </c>
      <c r="I492" s="42">
        <f>C492+F492</f>
        <v>159197</v>
      </c>
      <c r="J492" s="42">
        <f>D492+G492</f>
        <v>4888</v>
      </c>
      <c r="K492" s="43">
        <f>I492/J492</f>
        <v>32.568944353518823</v>
      </c>
    </row>
    <row r="493" spans="1:11">
      <c r="A493" s="19"/>
      <c r="C493" s="14"/>
      <c r="G493" s="62"/>
    </row>
    <row r="494" spans="1:11" ht="6" customHeight="1"/>
    <row r="495" spans="1:11" ht="6" customHeight="1"/>
    <row r="496" spans="1:11" ht="6" customHeight="1"/>
    <row r="497" spans="1:11">
      <c r="B497" s="20" t="s">
        <v>22</v>
      </c>
      <c r="C497" s="38">
        <v>5512</v>
      </c>
      <c r="D497" s="39">
        <v>108</v>
      </c>
      <c r="E497" s="63">
        <f>C497/D497</f>
        <v>51.037037037037038</v>
      </c>
      <c r="F497" s="38">
        <v>104</v>
      </c>
      <c r="G497" s="39">
        <v>22</v>
      </c>
      <c r="H497" s="63">
        <f>F497/G497</f>
        <v>4.7272727272727275</v>
      </c>
      <c r="I497" s="42">
        <f t="shared" ref="I497:J499" si="184">C497+F497</f>
        <v>5616</v>
      </c>
      <c r="J497" s="42">
        <f t="shared" si="184"/>
        <v>130</v>
      </c>
      <c r="K497" s="64">
        <f>I497/J497</f>
        <v>43.2</v>
      </c>
    </row>
    <row r="498" spans="1:11">
      <c r="A498" s="19"/>
      <c r="B498" s="20" t="s">
        <v>23</v>
      </c>
      <c r="C498" s="38">
        <v>3583</v>
      </c>
      <c r="D498" s="39">
        <v>46</v>
      </c>
      <c r="E498" s="63">
        <f>C498/D498</f>
        <v>77.891304347826093</v>
      </c>
      <c r="F498" s="65"/>
      <c r="G498" s="66"/>
      <c r="H498" s="63"/>
      <c r="I498" s="42">
        <f t="shared" si="184"/>
        <v>3583</v>
      </c>
      <c r="J498" s="42">
        <f t="shared" si="184"/>
        <v>46</v>
      </c>
      <c r="K498" s="64">
        <f>I498/J498</f>
        <v>77.891304347826093</v>
      </c>
    </row>
    <row r="499" spans="1:11">
      <c r="A499" s="19"/>
      <c r="B499" s="20" t="s">
        <v>24</v>
      </c>
      <c r="C499" s="38">
        <f>6460+2252</f>
        <v>8712</v>
      </c>
      <c r="D499" s="39">
        <f>181+103</f>
        <v>284</v>
      </c>
      <c r="E499" s="63">
        <f>C499/D499</f>
        <v>30.676056338028168</v>
      </c>
      <c r="F499" s="38">
        <f>375+262</f>
        <v>637</v>
      </c>
      <c r="G499" s="39">
        <f>37+16</f>
        <v>53</v>
      </c>
      <c r="H499" s="63">
        <f>F499/G499</f>
        <v>12.018867924528301</v>
      </c>
      <c r="I499" s="42">
        <f t="shared" si="184"/>
        <v>9349</v>
      </c>
      <c r="J499" s="42">
        <f t="shared" si="184"/>
        <v>337</v>
      </c>
      <c r="K499" s="64">
        <f>I499/J499</f>
        <v>27.741839762611274</v>
      </c>
    </row>
    <row r="500" spans="1:11">
      <c r="A500" s="19"/>
      <c r="B500" s="20"/>
      <c r="C500" s="38"/>
      <c r="D500" s="39"/>
      <c r="E500" s="63"/>
      <c r="F500" s="38"/>
      <c r="G500" s="39"/>
      <c r="H500" s="63"/>
      <c r="I500" s="42"/>
      <c r="J500" s="42"/>
      <c r="K500" s="64"/>
    </row>
    <row r="501" spans="1:11">
      <c r="A501" s="19"/>
      <c r="B501" s="20"/>
      <c r="C501" s="38"/>
      <c r="D501" s="39"/>
      <c r="E501" s="63"/>
      <c r="F501" s="38"/>
      <c r="G501" s="39"/>
      <c r="H501" s="63"/>
      <c r="I501" s="42"/>
      <c r="J501" s="42"/>
      <c r="K501" s="64"/>
    </row>
    <row r="502" spans="1:11" s="74" customFormat="1">
      <c r="A502" s="19"/>
      <c r="B502" s="68" t="s">
        <v>25</v>
      </c>
      <c r="C502" s="69">
        <f>C485+C486+C487+C488+C489+C490+C497+C498+C499</f>
        <v>155652</v>
      </c>
      <c r="D502" s="70">
        <f>D485+D486+D487+D488+D489+D490+D497+D498+D499</f>
        <v>4240</v>
      </c>
      <c r="E502" s="71">
        <f>C502/D502</f>
        <v>36.710377358490568</v>
      </c>
      <c r="F502" s="70">
        <f>F485+F486+F487+F488+F489+F490+F497+F499</f>
        <v>9161</v>
      </c>
      <c r="G502" s="70">
        <f>G485+G486+G487+G488+G489+G490+G497+G498+G499</f>
        <v>778</v>
      </c>
      <c r="H502" s="71">
        <f>F502/G502</f>
        <v>11.775064267352185</v>
      </c>
      <c r="I502" s="72">
        <f>C502+F502</f>
        <v>164813</v>
      </c>
      <c r="J502" s="72">
        <f>D502+G502</f>
        <v>5018</v>
      </c>
      <c r="K502" s="73">
        <f>I502/J502</f>
        <v>32.844360302909529</v>
      </c>
    </row>
    <row r="503" spans="1:11" ht="4.5" customHeight="1">
      <c r="A503" s="67"/>
    </row>
    <row r="504" spans="1:11" ht="4.5" customHeight="1"/>
    <row r="505" spans="1:11">
      <c r="B505" s="75"/>
      <c r="C505" s="75"/>
      <c r="D505" s="75"/>
      <c r="E505" s="75"/>
      <c r="F505" s="75"/>
      <c r="G505" s="75"/>
      <c r="H505" s="75"/>
      <c r="I505" s="75"/>
      <c r="J505" s="75"/>
      <c r="K505" s="75"/>
    </row>
    <row r="506" spans="1:11" ht="5.25" customHeight="1"/>
    <row r="507" spans="1:11" ht="5.25" customHeight="1"/>
    <row r="508" spans="1:11">
      <c r="B508" s="16" t="s">
        <v>27</v>
      </c>
      <c r="C508" s="29" t="s">
        <v>2</v>
      </c>
      <c r="D508" s="30" t="s">
        <v>2</v>
      </c>
      <c r="E508" s="31"/>
      <c r="F508" s="29" t="s">
        <v>3</v>
      </c>
      <c r="G508" s="32" t="s">
        <v>3</v>
      </c>
      <c r="H508" s="33"/>
      <c r="I508" s="34" t="s">
        <v>4</v>
      </c>
      <c r="J508" s="34" t="s">
        <v>4</v>
      </c>
      <c r="K508" s="28"/>
    </row>
    <row r="509" spans="1:11">
      <c r="B509" s="28"/>
      <c r="C509" s="29" t="s">
        <v>5</v>
      </c>
      <c r="D509" s="30" t="s">
        <v>6</v>
      </c>
      <c r="E509" s="21" t="s">
        <v>7</v>
      </c>
      <c r="F509" s="35" t="s">
        <v>5</v>
      </c>
      <c r="G509" s="32" t="s">
        <v>6</v>
      </c>
      <c r="H509" s="22" t="s">
        <v>8</v>
      </c>
      <c r="I509" s="34" t="s">
        <v>5</v>
      </c>
      <c r="J509" s="34" t="s">
        <v>6</v>
      </c>
      <c r="K509" s="16" t="s">
        <v>8</v>
      </c>
    </row>
    <row r="510" spans="1:11">
      <c r="B510" s="37" t="s">
        <v>9</v>
      </c>
      <c r="C510" s="38">
        <f>6643+5675</f>
        <v>12318</v>
      </c>
      <c r="D510" s="39">
        <f>151+236</f>
        <v>387</v>
      </c>
      <c r="E510" s="40">
        <f t="shared" ref="E510:E515" si="185">C510/D510</f>
        <v>31.829457364341085</v>
      </c>
      <c r="F510" s="38">
        <f>678+227</f>
        <v>905</v>
      </c>
      <c r="G510" s="39">
        <f>82+26</f>
        <v>108</v>
      </c>
      <c r="H510" s="41">
        <f t="shared" ref="H510:H515" si="186">F510/G510</f>
        <v>8.3796296296296298</v>
      </c>
      <c r="I510" s="42">
        <f t="shared" ref="I510:J515" si="187">C510+F510</f>
        <v>13223</v>
      </c>
      <c r="J510" s="42">
        <f t="shared" si="187"/>
        <v>495</v>
      </c>
      <c r="K510" s="43">
        <f t="shared" ref="K510:K515" si="188">I510/J510</f>
        <v>26.713131313131314</v>
      </c>
    </row>
    <row r="511" spans="1:11">
      <c r="B511" s="45" t="s">
        <v>10</v>
      </c>
      <c r="C511" s="46">
        <f>2780+6726</f>
        <v>9506</v>
      </c>
      <c r="D511" s="47">
        <f>25+113</f>
        <v>138</v>
      </c>
      <c r="E511" s="48">
        <f t="shared" si="185"/>
        <v>68.884057971014499</v>
      </c>
      <c r="F511" s="46">
        <f>833+29</f>
        <v>862</v>
      </c>
      <c r="G511" s="47">
        <f>35+2</f>
        <v>37</v>
      </c>
      <c r="H511" s="49">
        <f t="shared" si="186"/>
        <v>23.297297297297298</v>
      </c>
      <c r="I511" s="50">
        <f t="shared" si="187"/>
        <v>10368</v>
      </c>
      <c r="J511" s="50">
        <f t="shared" si="187"/>
        <v>175</v>
      </c>
      <c r="K511" s="51">
        <f t="shared" si="188"/>
        <v>59.245714285714286</v>
      </c>
    </row>
    <row r="512" spans="1:11">
      <c r="B512" s="45" t="s">
        <v>11</v>
      </c>
      <c r="C512" s="46">
        <f>4733+2549</f>
        <v>7282</v>
      </c>
      <c r="D512" s="47">
        <f>130+136</f>
        <v>266</v>
      </c>
      <c r="E512" s="48">
        <f t="shared" si="185"/>
        <v>27.375939849624061</v>
      </c>
      <c r="F512" s="46">
        <f>447+90</f>
        <v>537</v>
      </c>
      <c r="G512" s="47">
        <f>58+8</f>
        <v>66</v>
      </c>
      <c r="H512" s="49">
        <f t="shared" si="186"/>
        <v>8.1363636363636367</v>
      </c>
      <c r="I512" s="50">
        <f t="shared" si="187"/>
        <v>7819</v>
      </c>
      <c r="J512" s="50">
        <f t="shared" si="187"/>
        <v>332</v>
      </c>
      <c r="K512" s="51">
        <f t="shared" si="188"/>
        <v>23.551204819277107</v>
      </c>
    </row>
    <row r="513" spans="1:11">
      <c r="B513" s="45" t="s">
        <v>12</v>
      </c>
      <c r="C513" s="46">
        <f>7418+9196</f>
        <v>16614</v>
      </c>
      <c r="D513" s="47">
        <f>183+356</f>
        <v>539</v>
      </c>
      <c r="E513" s="48">
        <f t="shared" si="185"/>
        <v>30.823747680890538</v>
      </c>
      <c r="F513" s="46">
        <f>1279+114</f>
        <v>1393</v>
      </c>
      <c r="G513" s="47">
        <f>110+8</f>
        <v>118</v>
      </c>
      <c r="H513" s="49">
        <f t="shared" si="186"/>
        <v>11.805084745762711</v>
      </c>
      <c r="I513" s="50">
        <f t="shared" si="187"/>
        <v>18007</v>
      </c>
      <c r="J513" s="50">
        <f t="shared" si="187"/>
        <v>657</v>
      </c>
      <c r="K513" s="51">
        <f t="shared" si="188"/>
        <v>27.407914764079148</v>
      </c>
    </row>
    <row r="514" spans="1:11">
      <c r="B514" s="45" t="s">
        <v>21</v>
      </c>
      <c r="C514" s="46">
        <f>8229+5073</f>
        <v>13302</v>
      </c>
      <c r="D514" s="47">
        <f>215+179</f>
        <v>394</v>
      </c>
      <c r="E514" s="48">
        <f t="shared" si="185"/>
        <v>33.761421319796952</v>
      </c>
      <c r="F514" s="46">
        <f>923+240</f>
        <v>1163</v>
      </c>
      <c r="G514" s="47">
        <f>93+31</f>
        <v>124</v>
      </c>
      <c r="H514" s="49">
        <f t="shared" si="186"/>
        <v>9.379032258064516</v>
      </c>
      <c r="I514" s="50">
        <f t="shared" si="187"/>
        <v>14465</v>
      </c>
      <c r="J514" s="50">
        <f t="shared" si="187"/>
        <v>518</v>
      </c>
      <c r="K514" s="51">
        <f t="shared" si="188"/>
        <v>27.924710424710426</v>
      </c>
    </row>
    <row r="515" spans="1:11">
      <c r="B515" s="45" t="s">
        <v>13</v>
      </c>
      <c r="C515" s="46">
        <f>58368+14897</f>
        <v>73265</v>
      </c>
      <c r="D515" s="47">
        <f>1444+607</f>
        <v>2051</v>
      </c>
      <c r="E515" s="48">
        <f t="shared" si="185"/>
        <v>35.721599219892738</v>
      </c>
      <c r="F515" s="46">
        <f>2184+681</f>
        <v>2865</v>
      </c>
      <c r="G515" s="47">
        <f>180+57</f>
        <v>237</v>
      </c>
      <c r="H515" s="49">
        <f t="shared" si="186"/>
        <v>12.088607594936709</v>
      </c>
      <c r="I515" s="50">
        <f t="shared" si="187"/>
        <v>76130</v>
      </c>
      <c r="J515" s="50">
        <f t="shared" si="187"/>
        <v>2288</v>
      </c>
      <c r="K515" s="51">
        <f t="shared" si="188"/>
        <v>33.2736013986014</v>
      </c>
    </row>
    <row r="516" spans="1:11">
      <c r="B516" s="53"/>
      <c r="C516" s="54"/>
      <c r="D516" s="55"/>
      <c r="E516" s="56"/>
      <c r="F516" s="54"/>
      <c r="G516" s="55"/>
      <c r="H516" s="57"/>
      <c r="I516" s="58"/>
      <c r="J516" s="58"/>
      <c r="K516" s="59"/>
    </row>
    <row r="517" spans="1:11" s="123" customFormat="1" ht="25.5">
      <c r="A517"/>
      <c r="B517" s="124" t="s">
        <v>14</v>
      </c>
      <c r="C517" s="125">
        <f>(98034+51422)-C522</f>
        <v>144415</v>
      </c>
      <c r="D517" s="126">
        <f>(2377+1857)-D522</f>
        <v>4118</v>
      </c>
      <c r="E517" s="127">
        <f>C517/D517</f>
        <v>35.069208353569692</v>
      </c>
      <c r="F517" s="125">
        <f>(6736+1693)-F522</f>
        <v>8320</v>
      </c>
      <c r="G517" s="126">
        <f>(614+152)-G522</f>
        <v>747</v>
      </c>
      <c r="H517" s="128">
        <f>F517/G517</f>
        <v>11.137884872824632</v>
      </c>
      <c r="I517" s="129">
        <f>C517+F517</f>
        <v>152735</v>
      </c>
      <c r="J517" s="129">
        <f>D517+G517</f>
        <v>4865</v>
      </c>
      <c r="K517" s="130">
        <f>I517/J517</f>
        <v>31.394655704008223</v>
      </c>
    </row>
    <row r="518" spans="1:11" ht="7.5" customHeight="1">
      <c r="A518" s="123"/>
      <c r="C518" s="14"/>
      <c r="G518" s="62"/>
    </row>
    <row r="519" spans="1:11" ht="6" customHeight="1"/>
    <row r="520" spans="1:11" ht="6" customHeight="1"/>
    <row r="521" spans="1:11" ht="9" customHeight="1"/>
    <row r="522" spans="1:11">
      <c r="B522" s="20" t="s">
        <v>22</v>
      </c>
      <c r="C522" s="38">
        <f>5041</f>
        <v>5041</v>
      </c>
      <c r="D522" s="39">
        <v>116</v>
      </c>
      <c r="E522" s="63">
        <f>C522/D522</f>
        <v>43.456896551724135</v>
      </c>
      <c r="F522" s="38">
        <f>65+44</f>
        <v>109</v>
      </c>
      <c r="G522" s="39">
        <f>12+7</f>
        <v>19</v>
      </c>
      <c r="H522" s="63">
        <f>F522/G522</f>
        <v>5.7368421052631575</v>
      </c>
      <c r="I522" s="42">
        <f t="shared" ref="I522:J524" si="189">C522+F522</f>
        <v>5150</v>
      </c>
      <c r="J522" s="42">
        <f t="shared" si="189"/>
        <v>135</v>
      </c>
      <c r="K522" s="64">
        <f>I522/J522</f>
        <v>38.148148148148145</v>
      </c>
    </row>
    <row r="523" spans="1:11">
      <c r="B523" s="20" t="s">
        <v>23</v>
      </c>
      <c r="C523" s="38">
        <v>3625</v>
      </c>
      <c r="D523" s="39">
        <v>46</v>
      </c>
      <c r="E523" s="63">
        <f>C523/D523</f>
        <v>78.804347826086953</v>
      </c>
      <c r="F523" s="65"/>
      <c r="G523" s="66"/>
      <c r="H523" s="63"/>
      <c r="I523" s="42">
        <f t="shared" si="189"/>
        <v>3625</v>
      </c>
      <c r="J523" s="42">
        <f t="shared" si="189"/>
        <v>46</v>
      </c>
      <c r="K523" s="64">
        <f>I523/J523</f>
        <v>78.804347826086953</v>
      </c>
    </row>
    <row r="524" spans="1:11">
      <c r="B524" s="20" t="s">
        <v>24</v>
      </c>
      <c r="C524" s="38">
        <f>6238+2265</f>
        <v>8503</v>
      </c>
      <c r="D524" s="39">
        <f>183+114</f>
        <v>297</v>
      </c>
      <c r="E524" s="63">
        <f>C524/D524</f>
        <v>28.62962962962963</v>
      </c>
      <c r="F524" s="38">
        <f>327+268</f>
        <v>595</v>
      </c>
      <c r="G524" s="39">
        <f>44+13</f>
        <v>57</v>
      </c>
      <c r="H524" s="63">
        <f>F524/G524</f>
        <v>10.43859649122807</v>
      </c>
      <c r="I524" s="42">
        <f t="shared" si="189"/>
        <v>9098</v>
      </c>
      <c r="J524" s="42">
        <f t="shared" si="189"/>
        <v>354</v>
      </c>
      <c r="K524" s="64">
        <f>I524/J524</f>
        <v>25.700564971751412</v>
      </c>
    </row>
    <row r="525" spans="1:11">
      <c r="B525" s="20"/>
      <c r="C525" s="38"/>
      <c r="D525" s="39"/>
      <c r="E525" s="63"/>
      <c r="F525" s="38"/>
      <c r="G525" s="39"/>
      <c r="H525" s="63"/>
      <c r="I525" s="42"/>
      <c r="J525" s="42"/>
      <c r="K525" s="64"/>
    </row>
    <row r="526" spans="1:11">
      <c r="B526" s="20"/>
      <c r="C526" s="38"/>
      <c r="D526" s="39"/>
      <c r="E526" s="63"/>
      <c r="F526" s="38"/>
      <c r="G526" s="39"/>
      <c r="H526" s="63"/>
      <c r="I526" s="42"/>
      <c r="J526" s="42"/>
      <c r="K526" s="64"/>
    </row>
    <row r="527" spans="1:11">
      <c r="B527" s="68" t="s">
        <v>25</v>
      </c>
      <c r="C527" s="69">
        <f>C510+C511+C512+C513+C514+C515+C522+C523+C524</f>
        <v>149456</v>
      </c>
      <c r="D527" s="70">
        <f>D510+D511+D512+D513+D514+D515+D522+D523+D524</f>
        <v>4234</v>
      </c>
      <c r="E527" s="71">
        <f>C527/D527</f>
        <v>35.299008030231462</v>
      </c>
      <c r="F527" s="69">
        <f>F510+F511+F512+F513+F514+F515+F522+F523+F524</f>
        <v>8429</v>
      </c>
      <c r="G527" s="70">
        <f>G510+G511+G512+G513+G514+G515+G522+G523+G524</f>
        <v>766</v>
      </c>
      <c r="H527" s="71">
        <f>F527/G527</f>
        <v>11.003916449086162</v>
      </c>
      <c r="I527" s="72">
        <f>C527+F527</f>
        <v>157885</v>
      </c>
      <c r="J527" s="72">
        <f>D527+G527</f>
        <v>5000</v>
      </c>
      <c r="K527" s="73">
        <f>I527/J527</f>
        <v>31.577000000000002</v>
      </c>
    </row>
    <row r="528" spans="1:11" ht="4.5" customHeight="1"/>
    <row r="529" spans="2:11" ht="4.5" customHeight="1"/>
    <row r="530" spans="2:11">
      <c r="B530" s="75"/>
      <c r="C530" s="75"/>
      <c r="D530" s="75"/>
      <c r="E530" s="75"/>
      <c r="F530" s="75"/>
      <c r="G530" s="75"/>
      <c r="H530" s="75"/>
      <c r="I530" s="75"/>
      <c r="J530" s="75"/>
      <c r="K530" s="75"/>
    </row>
    <row r="532" spans="2:11">
      <c r="B532" s="16" t="s">
        <v>26</v>
      </c>
      <c r="C532" s="29" t="s">
        <v>2</v>
      </c>
      <c r="D532" s="30" t="s">
        <v>2</v>
      </c>
      <c r="E532" s="31"/>
      <c r="F532" s="29" t="s">
        <v>3</v>
      </c>
      <c r="G532" s="32" t="s">
        <v>3</v>
      </c>
      <c r="H532" s="33"/>
      <c r="I532" s="34" t="s">
        <v>4</v>
      </c>
      <c r="J532" s="34" t="s">
        <v>4</v>
      </c>
      <c r="K532" s="28"/>
    </row>
    <row r="533" spans="2:11">
      <c r="B533" s="28"/>
      <c r="C533" s="29" t="s">
        <v>5</v>
      </c>
      <c r="D533" s="30" t="s">
        <v>6</v>
      </c>
      <c r="E533" s="21" t="s">
        <v>7</v>
      </c>
      <c r="F533" s="35" t="s">
        <v>5</v>
      </c>
      <c r="G533" s="32" t="s">
        <v>6</v>
      </c>
      <c r="H533" s="22" t="s">
        <v>8</v>
      </c>
      <c r="I533" s="34" t="s">
        <v>5</v>
      </c>
      <c r="J533" s="34" t="s">
        <v>6</v>
      </c>
      <c r="K533" s="16" t="s">
        <v>8</v>
      </c>
    </row>
    <row r="534" spans="2:11">
      <c r="B534" s="37" t="s">
        <v>9</v>
      </c>
      <c r="C534" s="38">
        <f>6312+5155</f>
        <v>11467</v>
      </c>
      <c r="D534" s="39">
        <f>150+236</f>
        <v>386</v>
      </c>
      <c r="E534" s="40">
        <f t="shared" ref="E534:E539" si="190">C534/D534</f>
        <v>29.707253886010363</v>
      </c>
      <c r="F534" s="38">
        <f>641+226</f>
        <v>867</v>
      </c>
      <c r="G534" s="39">
        <f>79+36</f>
        <v>115</v>
      </c>
      <c r="H534" s="41">
        <f t="shared" ref="H534:H539" si="191">F534/G534</f>
        <v>7.5391304347826091</v>
      </c>
      <c r="I534" s="42">
        <f t="shared" ref="I534:J539" si="192">C534+F534</f>
        <v>12334</v>
      </c>
      <c r="J534" s="42">
        <f t="shared" si="192"/>
        <v>501</v>
      </c>
      <c r="K534" s="43">
        <f t="shared" ref="K534:K539" si="193">I534/J534</f>
        <v>24.618762475049902</v>
      </c>
    </row>
    <row r="535" spans="2:11">
      <c r="B535" s="45" t="s">
        <v>10</v>
      </c>
      <c r="C535" s="46">
        <f>2783+6743</f>
        <v>9526</v>
      </c>
      <c r="D535" s="47">
        <f>26+117</f>
        <v>143</v>
      </c>
      <c r="E535" s="48">
        <f t="shared" si="190"/>
        <v>66.615384615384613</v>
      </c>
      <c r="F535" s="46">
        <f>915+24</f>
        <v>939</v>
      </c>
      <c r="G535" s="47">
        <f>36+1</f>
        <v>37</v>
      </c>
      <c r="H535" s="49">
        <f t="shared" si="191"/>
        <v>25.378378378378379</v>
      </c>
      <c r="I535" s="50">
        <f t="shared" si="192"/>
        <v>10465</v>
      </c>
      <c r="J535" s="50">
        <f t="shared" si="192"/>
        <v>180</v>
      </c>
      <c r="K535" s="51">
        <f t="shared" si="193"/>
        <v>58.138888888888886</v>
      </c>
    </row>
    <row r="536" spans="2:11">
      <c r="B536" s="45" t="s">
        <v>11</v>
      </c>
      <c r="C536" s="46">
        <f>4521+2786</f>
        <v>7307</v>
      </c>
      <c r="D536" s="47">
        <f>128+137</f>
        <v>265</v>
      </c>
      <c r="E536" s="48">
        <f t="shared" si="190"/>
        <v>27.573584905660379</v>
      </c>
      <c r="F536" s="46">
        <f>461+70</f>
        <v>531</v>
      </c>
      <c r="G536" s="47">
        <f>59+7</f>
        <v>66</v>
      </c>
      <c r="H536" s="49">
        <f t="shared" si="191"/>
        <v>8.045454545454545</v>
      </c>
      <c r="I536" s="50">
        <f t="shared" si="192"/>
        <v>7838</v>
      </c>
      <c r="J536" s="50">
        <f t="shared" si="192"/>
        <v>331</v>
      </c>
      <c r="K536" s="51">
        <f t="shared" si="193"/>
        <v>23.679758308157101</v>
      </c>
    </row>
    <row r="537" spans="2:11">
      <c r="B537" s="45" t="s">
        <v>12</v>
      </c>
      <c r="C537" s="46">
        <f>6918+9091</f>
        <v>16009</v>
      </c>
      <c r="D537" s="47">
        <f>177+351</f>
        <v>528</v>
      </c>
      <c r="E537" s="48">
        <f t="shared" si="190"/>
        <v>30.320075757575758</v>
      </c>
      <c r="F537" s="46">
        <f>1223+108</f>
        <v>1331</v>
      </c>
      <c r="G537" s="47">
        <f>101+8</f>
        <v>109</v>
      </c>
      <c r="H537" s="49">
        <f t="shared" si="191"/>
        <v>12.211009174311927</v>
      </c>
      <c r="I537" s="50">
        <f t="shared" si="192"/>
        <v>17340</v>
      </c>
      <c r="J537" s="50">
        <f t="shared" si="192"/>
        <v>637</v>
      </c>
      <c r="K537" s="51">
        <f t="shared" si="193"/>
        <v>27.221350078492936</v>
      </c>
    </row>
    <row r="538" spans="2:11">
      <c r="B538" s="45" t="s">
        <v>21</v>
      </c>
      <c r="C538" s="46">
        <f>7572+4669</f>
        <v>12241</v>
      </c>
      <c r="D538" s="47">
        <f>216+181</f>
        <v>397</v>
      </c>
      <c r="E538" s="48">
        <f t="shared" si="190"/>
        <v>30.833753148614608</v>
      </c>
      <c r="F538" s="46">
        <f>984+208</f>
        <v>1192</v>
      </c>
      <c r="G538" s="47">
        <f>96+27</f>
        <v>123</v>
      </c>
      <c r="H538" s="49">
        <f t="shared" si="191"/>
        <v>9.691056910569106</v>
      </c>
      <c r="I538" s="50">
        <f t="shared" si="192"/>
        <v>13433</v>
      </c>
      <c r="J538" s="50">
        <f t="shared" si="192"/>
        <v>520</v>
      </c>
      <c r="K538" s="51">
        <f t="shared" si="193"/>
        <v>25.832692307692309</v>
      </c>
    </row>
    <row r="539" spans="2:11">
      <c r="B539" s="45" t="s">
        <v>13</v>
      </c>
      <c r="C539" s="46">
        <f>55809+15211</f>
        <v>71020</v>
      </c>
      <c r="D539" s="47">
        <f>1397+641</f>
        <v>2038</v>
      </c>
      <c r="E539" s="48">
        <f t="shared" si="190"/>
        <v>34.847890088321883</v>
      </c>
      <c r="F539" s="46">
        <f>2136+800</f>
        <v>2936</v>
      </c>
      <c r="G539" s="47">
        <f>172+63</f>
        <v>235</v>
      </c>
      <c r="H539" s="49">
        <f t="shared" si="191"/>
        <v>12.493617021276595</v>
      </c>
      <c r="I539" s="50">
        <f t="shared" si="192"/>
        <v>73956</v>
      </c>
      <c r="J539" s="50">
        <f t="shared" si="192"/>
        <v>2273</v>
      </c>
      <c r="K539" s="51">
        <f t="shared" si="193"/>
        <v>32.536735591728991</v>
      </c>
    </row>
    <row r="540" spans="2:11">
      <c r="B540" s="53"/>
      <c r="C540" s="54"/>
      <c r="D540" s="55"/>
      <c r="E540" s="56"/>
      <c r="F540" s="54"/>
      <c r="G540" s="55"/>
      <c r="H540" s="57"/>
      <c r="I540" s="58"/>
      <c r="J540" s="58"/>
      <c r="K540" s="59"/>
    </row>
    <row r="541" spans="2:11" ht="25.5">
      <c r="B541" s="20" t="s">
        <v>14</v>
      </c>
      <c r="C541" s="60">
        <f>(93611+50491)-C546</f>
        <v>139468</v>
      </c>
      <c r="D541" s="61">
        <f>(2319+1874)-D546</f>
        <v>4086</v>
      </c>
      <c r="E541" s="40">
        <f>C541/D541</f>
        <v>34.133137542829175</v>
      </c>
      <c r="F541" s="60">
        <f>(6744+1721)-F546</f>
        <v>8351</v>
      </c>
      <c r="G541" s="61">
        <f>(584+164)-G546</f>
        <v>727</v>
      </c>
      <c r="H541" s="41">
        <f>F541/G541</f>
        <v>11.486932599724897</v>
      </c>
      <c r="I541" s="42">
        <f>C541+F541</f>
        <v>147819</v>
      </c>
      <c r="J541" s="42">
        <f>D541+G541</f>
        <v>4813</v>
      </c>
      <c r="K541" s="43">
        <f>I541/J541</f>
        <v>30.712445460211924</v>
      </c>
    </row>
    <row r="542" spans="2:11">
      <c r="C542" s="14"/>
      <c r="G542" s="62"/>
    </row>
    <row r="543" spans="2:11" ht="5.25" customHeight="1"/>
    <row r="544" spans="2:11" ht="5.25" customHeight="1"/>
    <row r="546" spans="2:11">
      <c r="B546" s="20" t="s">
        <v>22</v>
      </c>
      <c r="C546" s="38">
        <v>4634</v>
      </c>
      <c r="D546" s="39">
        <v>107</v>
      </c>
      <c r="E546" s="63">
        <f>C546/D546</f>
        <v>43.308411214953274</v>
      </c>
      <c r="F546" s="38">
        <f>80+34</f>
        <v>114</v>
      </c>
      <c r="G546" s="39">
        <f>12+9</f>
        <v>21</v>
      </c>
      <c r="H546" s="63">
        <f>F546/G546</f>
        <v>5.4285714285714288</v>
      </c>
      <c r="I546" s="42">
        <f t="shared" ref="I546:J548" si="194">C546+F546</f>
        <v>4748</v>
      </c>
      <c r="J546" s="42">
        <f t="shared" si="194"/>
        <v>128</v>
      </c>
      <c r="K546" s="64">
        <f>I546/J546</f>
        <v>37.09375</v>
      </c>
    </row>
    <row r="547" spans="2:11">
      <c r="B547" s="20" t="s">
        <v>23</v>
      </c>
      <c r="C547" s="38">
        <v>3771</v>
      </c>
      <c r="D547" s="39">
        <v>46</v>
      </c>
      <c r="E547" s="63">
        <f>C547/D547</f>
        <v>81.978260869565219</v>
      </c>
      <c r="F547" s="65">
        <v>0</v>
      </c>
      <c r="G547" s="66">
        <v>0</v>
      </c>
      <c r="H547" s="63"/>
      <c r="I547" s="42">
        <f t="shared" si="194"/>
        <v>3771</v>
      </c>
      <c r="J547" s="42">
        <f t="shared" si="194"/>
        <v>46</v>
      </c>
      <c r="K547" s="64">
        <f>I547/J547</f>
        <v>81.978260869565219</v>
      </c>
    </row>
    <row r="548" spans="2:11">
      <c r="B548" s="20" t="s">
        <v>24</v>
      </c>
      <c r="C548" s="38">
        <f>5925+2202</f>
        <v>8127</v>
      </c>
      <c r="D548" s="39">
        <f>179+104</f>
        <v>283</v>
      </c>
      <c r="E548" s="63">
        <f>C548/D548</f>
        <v>28.71731448763251</v>
      </c>
      <c r="F548" s="38">
        <f>304+251</f>
        <v>555</v>
      </c>
      <c r="G548" s="39">
        <f>29+13</f>
        <v>42</v>
      </c>
      <c r="H548" s="63">
        <f>F548/G548</f>
        <v>13.214285714285714</v>
      </c>
      <c r="I548" s="42">
        <f t="shared" si="194"/>
        <v>8682</v>
      </c>
      <c r="J548" s="42">
        <f t="shared" si="194"/>
        <v>325</v>
      </c>
      <c r="K548" s="64">
        <f>I548/J548</f>
        <v>26.713846153846156</v>
      </c>
    </row>
    <row r="549" spans="2:11">
      <c r="B549" s="20"/>
      <c r="C549" s="38"/>
      <c r="D549" s="39"/>
      <c r="E549" s="63"/>
      <c r="F549" s="38"/>
      <c r="G549" s="39"/>
      <c r="H549" s="63"/>
      <c r="I549" s="42"/>
      <c r="J549" s="42"/>
      <c r="K549" s="64"/>
    </row>
    <row r="550" spans="2:11">
      <c r="B550" s="20"/>
      <c r="C550" s="38"/>
      <c r="D550" s="39"/>
      <c r="E550" s="63"/>
      <c r="F550" s="38"/>
      <c r="G550" s="39"/>
      <c r="H550" s="63"/>
      <c r="I550" s="42"/>
      <c r="J550" s="42"/>
      <c r="K550" s="64"/>
    </row>
    <row r="551" spans="2:11">
      <c r="B551" s="68" t="s">
        <v>25</v>
      </c>
      <c r="C551" s="69">
        <f>C534+C535+C536+C537+C538+C539+C546+C547+C548</f>
        <v>144102</v>
      </c>
      <c r="D551" s="70">
        <f>D534+D535+D536+D537+D538+D539+D546+D547+D548</f>
        <v>4193</v>
      </c>
      <c r="E551" s="71">
        <f>C551/D551</f>
        <v>34.367278797996661</v>
      </c>
      <c r="F551" s="69">
        <f>F534+F535+F536+F537+F538+F539+F546+F547+F548</f>
        <v>8465</v>
      </c>
      <c r="G551" s="70">
        <f>G534+G535+G536+G537+G538+G539+G546+G547+G548</f>
        <v>748</v>
      </c>
      <c r="H551" s="71">
        <f>F551/G551</f>
        <v>11.316844919786096</v>
      </c>
      <c r="I551" s="72">
        <f>C551+F551</f>
        <v>152567</v>
      </c>
      <c r="J551" s="72">
        <f>D551+G551</f>
        <v>4941</v>
      </c>
      <c r="K551" s="73">
        <f>I551/J551</f>
        <v>30.877757538959724</v>
      </c>
    </row>
  </sheetData>
  <mergeCells count="78">
    <mergeCell ref="C156:E156"/>
    <mergeCell ref="F156:H156"/>
    <mergeCell ref="I156:K156"/>
    <mergeCell ref="C171:E171"/>
    <mergeCell ref="F171:H171"/>
    <mergeCell ref="I171:K171"/>
    <mergeCell ref="C187:E187"/>
    <mergeCell ref="F187:H187"/>
    <mergeCell ref="I187:K187"/>
    <mergeCell ref="C202:E202"/>
    <mergeCell ref="F202:H202"/>
    <mergeCell ref="I202:K202"/>
    <mergeCell ref="I280:K280"/>
    <mergeCell ref="C280:E280"/>
    <mergeCell ref="F280:H280"/>
    <mergeCell ref="C249:E249"/>
    <mergeCell ref="F249:H249"/>
    <mergeCell ref="I249:K249"/>
    <mergeCell ref="C264:E264"/>
    <mergeCell ref="F264:H264"/>
    <mergeCell ref="I264:K264"/>
    <mergeCell ref="C218:E218"/>
    <mergeCell ref="F218:H218"/>
    <mergeCell ref="I218:K218"/>
    <mergeCell ref="C233:E233"/>
    <mergeCell ref="F233:H233"/>
    <mergeCell ref="I233:K233"/>
    <mergeCell ref="C327:E327"/>
    <mergeCell ref="I408:K408"/>
    <mergeCell ref="I385:K385"/>
    <mergeCell ref="I367:K367"/>
    <mergeCell ref="I344:K344"/>
    <mergeCell ref="I327:K327"/>
    <mergeCell ref="F327:H327"/>
    <mergeCell ref="C408:E408"/>
    <mergeCell ref="F408:H408"/>
    <mergeCell ref="C385:E385"/>
    <mergeCell ref="F385:H385"/>
    <mergeCell ref="C344:E344"/>
    <mergeCell ref="F344:H344"/>
    <mergeCell ref="C367:E367"/>
    <mergeCell ref="F367:H367"/>
    <mergeCell ref="C295:E295"/>
    <mergeCell ref="F295:H295"/>
    <mergeCell ref="F312:H312"/>
    <mergeCell ref="C312:E312"/>
    <mergeCell ref="I312:K312"/>
    <mergeCell ref="I295:K295"/>
    <mergeCell ref="C125:E125"/>
    <mergeCell ref="F125:H125"/>
    <mergeCell ref="I125:K125"/>
    <mergeCell ref="C140:E140"/>
    <mergeCell ref="F140:H140"/>
    <mergeCell ref="I140:K140"/>
    <mergeCell ref="C94:E94"/>
    <mergeCell ref="F94:H94"/>
    <mergeCell ref="I94:K94"/>
    <mergeCell ref="C109:E109"/>
    <mergeCell ref="F109:H109"/>
    <mergeCell ref="I109:K109"/>
    <mergeCell ref="C63:E63"/>
    <mergeCell ref="F63:H63"/>
    <mergeCell ref="I63:K63"/>
    <mergeCell ref="C78:E78"/>
    <mergeCell ref="F78:H78"/>
    <mergeCell ref="I78:K78"/>
    <mergeCell ref="C32:E32"/>
    <mergeCell ref="F32:H32"/>
    <mergeCell ref="I32:K32"/>
    <mergeCell ref="C47:E47"/>
    <mergeCell ref="F47:H47"/>
    <mergeCell ref="I47:K47"/>
    <mergeCell ref="C1:E1"/>
    <mergeCell ref="F1:H1"/>
    <mergeCell ref="I1:K1"/>
    <mergeCell ref="C16:E16"/>
    <mergeCell ref="F16:H16"/>
    <mergeCell ref="I16:K16"/>
  </mergeCells>
  <phoneticPr fontId="0" type="noConversion"/>
  <printOptions horizontalCentered="1"/>
  <pageMargins left="0.25" right="0.25" top="0.25" bottom="0.25" header="0.5" footer="0.5"/>
  <pageSetup orientation="portrait" r:id="rId1"/>
  <headerFooter alignWithMargins="0"/>
  <rowBreaks count="6" manualBreakCount="6">
    <brk id="61" min="1" max="10" man="1"/>
    <brk id="155" min="1" max="10" man="1"/>
    <brk id="186" min="1" max="10" man="1"/>
    <brk id="342" min="1" max="10" man="1"/>
    <brk id="384" min="1" max="10" man="1"/>
    <brk id="505"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S84"/>
  <sheetViews>
    <sheetView showGridLines="0" zoomScale="90" zoomScaleNormal="165" zoomScaleSheetLayoutView="90" workbookViewId="0">
      <selection activeCell="A6" sqref="A6"/>
    </sheetView>
  </sheetViews>
  <sheetFormatPr defaultColWidth="11.42578125" defaultRowHeight="12.75" customHeight="1"/>
  <cols>
    <col min="1" max="1" width="24.140625" style="5" customWidth="1"/>
    <col min="2" max="2" width="10.5703125" style="5" customWidth="1"/>
    <col min="3" max="13" width="5.5703125" style="5" hidden="1" customWidth="1"/>
    <col min="14" max="16" width="5" style="5" bestFit="1" customWidth="1"/>
    <col min="17" max="17" width="5" style="5" customWidth="1"/>
    <col min="18" max="18" width="5" style="5" bestFit="1" customWidth="1"/>
    <col min="19" max="19" width="1.140625" style="5" hidden="1" customWidth="1"/>
    <col min="20" max="30" width="5.5703125" style="5" hidden="1" customWidth="1"/>
    <col min="31" max="35" width="5.5703125" style="5" customWidth="1"/>
    <col min="36" max="36" width="0.85546875" style="5" hidden="1" customWidth="1"/>
    <col min="37" max="37" width="5.5703125" style="5" hidden="1" customWidth="1"/>
    <col min="38" max="47" width="5.5703125" style="151" hidden="1" customWidth="1"/>
    <col min="48" max="52" width="5.5703125" style="151" customWidth="1"/>
    <col min="53" max="53" width="1.85546875" style="151" hidden="1" customWidth="1"/>
    <col min="54" max="64" width="5.5703125" style="151" hidden="1" customWidth="1"/>
    <col min="65" max="69" width="5.5703125" style="151" customWidth="1"/>
    <col min="70" max="70" width="1.42578125" style="151" hidden="1" customWidth="1"/>
    <col min="71" max="81" width="5.5703125" style="151" hidden="1" customWidth="1"/>
    <col min="82" max="86" width="5.5703125" style="151" customWidth="1"/>
    <col min="87" max="87" width="0.85546875" style="151" hidden="1" customWidth="1"/>
    <col min="88" max="98" width="5.5703125" style="151" hidden="1" customWidth="1"/>
    <col min="99" max="103" width="5.5703125" style="151" customWidth="1"/>
    <col min="104" max="116" width="5.5703125" style="151" hidden="1" customWidth="1"/>
    <col min="117" max="117" width="0" hidden="1" customWidth="1"/>
  </cols>
  <sheetData>
    <row r="1" spans="1:116" s="266" customFormat="1" ht="18">
      <c r="A1" s="265" t="s">
        <v>2</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BY1" s="264"/>
      <c r="BZ1" s="264"/>
      <c r="CA1" s="264"/>
      <c r="CB1" s="264"/>
      <c r="CC1" s="264"/>
      <c r="CD1" s="264"/>
      <c r="CE1" s="264"/>
      <c r="CF1" s="264"/>
      <c r="CG1" s="264"/>
      <c r="CH1" s="264"/>
    </row>
    <row r="2" spans="1:116" s="146" customFormat="1">
      <c r="A2" s="148"/>
      <c r="B2" s="148"/>
      <c r="C2" s="152" t="s">
        <v>61</v>
      </c>
      <c r="D2" s="152"/>
      <c r="E2" s="152"/>
      <c r="F2" s="152"/>
      <c r="I2" s="152"/>
      <c r="N2" s="152" t="s">
        <v>115</v>
      </c>
      <c r="P2" s="150"/>
      <c r="Q2" s="150"/>
      <c r="R2" s="150"/>
      <c r="S2"/>
      <c r="T2"/>
      <c r="U2"/>
      <c r="V2"/>
      <c r="W2"/>
      <c r="X2"/>
      <c r="Z2" s="152"/>
      <c r="AE2" s="152" t="s">
        <v>15</v>
      </c>
      <c r="AG2" s="150"/>
      <c r="AH2" s="150"/>
      <c r="AI2" s="150"/>
      <c r="AJ2"/>
      <c r="AK2"/>
      <c r="AL2"/>
      <c r="AM2"/>
      <c r="AN2"/>
      <c r="AO2"/>
      <c r="AQ2" s="152"/>
      <c r="AV2" s="152" t="s">
        <v>16</v>
      </c>
      <c r="AX2" s="150"/>
      <c r="AY2" s="150"/>
      <c r="AZ2" s="150"/>
      <c r="BA2"/>
      <c r="BB2"/>
      <c r="BC2"/>
      <c r="BD2"/>
      <c r="BE2"/>
      <c r="BF2"/>
      <c r="BH2" s="152"/>
      <c r="BM2" s="152" t="s">
        <v>100</v>
      </c>
      <c r="BO2" s="152"/>
      <c r="BP2" s="152"/>
      <c r="BQ2" s="152"/>
      <c r="BR2"/>
      <c r="BS2"/>
      <c r="BT2"/>
      <c r="BU2"/>
      <c r="BV2"/>
      <c r="BW2"/>
      <c r="BY2" s="152"/>
      <c r="CD2" s="152" t="s">
        <v>101</v>
      </c>
      <c r="CF2" s="150"/>
      <c r="CG2" s="150"/>
      <c r="CH2" s="150"/>
      <c r="CI2"/>
      <c r="CJ2"/>
      <c r="CK2"/>
      <c r="CL2"/>
      <c r="CM2"/>
      <c r="CN2"/>
      <c r="CP2" s="152"/>
      <c r="CU2" s="152" t="s">
        <v>13</v>
      </c>
      <c r="CW2" s="152"/>
      <c r="CX2" s="152"/>
      <c r="CY2" s="152"/>
      <c r="CZ2"/>
      <c r="DA2"/>
      <c r="DB2"/>
      <c r="DC2"/>
      <c r="DD2"/>
      <c r="DE2"/>
      <c r="DF2" s="307" t="s">
        <v>65</v>
      </c>
      <c r="DG2" s="307"/>
      <c r="DH2" s="307"/>
      <c r="DI2" s="307"/>
      <c r="DJ2" s="307"/>
      <c r="DK2" s="307"/>
      <c r="DL2" s="307"/>
    </row>
    <row r="3" spans="1:116" s="145" customFormat="1">
      <c r="C3" s="216">
        <v>2009</v>
      </c>
      <c r="D3" s="149">
        <v>2010</v>
      </c>
      <c r="E3" s="149">
        <v>2011</v>
      </c>
      <c r="F3" s="149">
        <v>2012</v>
      </c>
      <c r="G3" s="149" t="s">
        <v>68</v>
      </c>
      <c r="H3" s="149" t="s">
        <v>71</v>
      </c>
      <c r="I3" s="149" t="s">
        <v>72</v>
      </c>
      <c r="J3" s="149" t="s">
        <v>74</v>
      </c>
      <c r="K3" s="149" t="s">
        <v>86</v>
      </c>
      <c r="L3" s="149" t="s">
        <v>99</v>
      </c>
      <c r="M3" s="149" t="s">
        <v>104</v>
      </c>
      <c r="N3" s="149" t="s">
        <v>108</v>
      </c>
      <c r="O3" s="149" t="s">
        <v>114</v>
      </c>
      <c r="P3" s="149" t="s">
        <v>118</v>
      </c>
      <c r="Q3" s="149" t="s">
        <v>120</v>
      </c>
      <c r="R3" s="149" t="s">
        <v>124</v>
      </c>
      <c r="S3" s="149"/>
      <c r="T3" s="149">
        <v>2009</v>
      </c>
      <c r="U3" s="149">
        <v>2010</v>
      </c>
      <c r="V3" s="149">
        <v>2011</v>
      </c>
      <c r="W3" s="149">
        <v>2012</v>
      </c>
      <c r="X3" s="149" t="s">
        <v>68</v>
      </c>
      <c r="Y3" s="149" t="s">
        <v>71</v>
      </c>
      <c r="Z3" s="149" t="s">
        <v>72</v>
      </c>
      <c r="AA3" s="149" t="s">
        <v>74</v>
      </c>
      <c r="AB3" s="149" t="s">
        <v>86</v>
      </c>
      <c r="AC3" s="149" t="s">
        <v>99</v>
      </c>
      <c r="AD3" s="149" t="s">
        <v>104</v>
      </c>
      <c r="AE3" s="149" t="s">
        <v>108</v>
      </c>
      <c r="AF3" s="149" t="s">
        <v>114</v>
      </c>
      <c r="AG3" s="149" t="s">
        <v>118</v>
      </c>
      <c r="AH3" s="149" t="s">
        <v>120</v>
      </c>
      <c r="AI3" s="149" t="s">
        <v>124</v>
      </c>
      <c r="AJ3" s="149"/>
      <c r="AK3" s="149">
        <v>2009</v>
      </c>
      <c r="AL3" s="149">
        <v>2010</v>
      </c>
      <c r="AM3" s="149">
        <v>2011</v>
      </c>
      <c r="AN3" s="149">
        <v>2012</v>
      </c>
      <c r="AO3" s="149" t="s">
        <v>68</v>
      </c>
      <c r="AP3" s="149" t="s">
        <v>71</v>
      </c>
      <c r="AQ3" s="149" t="s">
        <v>72</v>
      </c>
      <c r="AR3" s="149" t="s">
        <v>74</v>
      </c>
      <c r="AS3" s="149" t="s">
        <v>86</v>
      </c>
      <c r="AT3" s="149" t="s">
        <v>99</v>
      </c>
      <c r="AU3" s="149" t="s">
        <v>104</v>
      </c>
      <c r="AV3" s="149" t="s">
        <v>108</v>
      </c>
      <c r="AW3" s="149" t="s">
        <v>114</v>
      </c>
      <c r="AX3" s="149" t="s">
        <v>118</v>
      </c>
      <c r="AY3" s="149" t="s">
        <v>120</v>
      </c>
      <c r="AZ3" s="149" t="s">
        <v>124</v>
      </c>
      <c r="BA3" s="149"/>
      <c r="BB3" s="149" t="s">
        <v>87</v>
      </c>
      <c r="BC3" s="149">
        <v>2010</v>
      </c>
      <c r="BD3" s="149">
        <v>2011</v>
      </c>
      <c r="BE3" s="149">
        <v>2012</v>
      </c>
      <c r="BF3" s="149" t="s">
        <v>68</v>
      </c>
      <c r="BG3" s="149" t="s">
        <v>71</v>
      </c>
      <c r="BH3" s="149" t="s">
        <v>72</v>
      </c>
      <c r="BI3" s="149" t="s">
        <v>74</v>
      </c>
      <c r="BJ3" s="149" t="s">
        <v>86</v>
      </c>
      <c r="BK3" s="149" t="s">
        <v>99</v>
      </c>
      <c r="BL3" s="149" t="s">
        <v>104</v>
      </c>
      <c r="BM3" s="149" t="s">
        <v>108</v>
      </c>
      <c r="BN3" s="149" t="s">
        <v>114</v>
      </c>
      <c r="BO3" s="149" t="s">
        <v>118</v>
      </c>
      <c r="BP3" s="149" t="s">
        <v>120</v>
      </c>
      <c r="BQ3" s="149" t="s">
        <v>124</v>
      </c>
      <c r="BR3" s="149"/>
      <c r="BS3" s="149" t="s">
        <v>87</v>
      </c>
      <c r="BT3" s="149">
        <v>2010</v>
      </c>
      <c r="BU3" s="149">
        <v>2011</v>
      </c>
      <c r="BV3" s="149">
        <v>2012</v>
      </c>
      <c r="BW3" s="149" t="s">
        <v>68</v>
      </c>
      <c r="BX3" s="149" t="s">
        <v>71</v>
      </c>
      <c r="BY3" s="149" t="s">
        <v>72</v>
      </c>
      <c r="BZ3" s="149" t="s">
        <v>74</v>
      </c>
      <c r="CA3" s="149" t="s">
        <v>86</v>
      </c>
      <c r="CB3" s="149" t="s">
        <v>99</v>
      </c>
      <c r="CC3" s="149" t="s">
        <v>104</v>
      </c>
      <c r="CD3" s="149" t="s">
        <v>108</v>
      </c>
      <c r="CE3" s="149" t="s">
        <v>114</v>
      </c>
      <c r="CF3" s="149" t="s">
        <v>118</v>
      </c>
      <c r="CG3" s="149" t="s">
        <v>120</v>
      </c>
      <c r="CH3" s="149" t="s">
        <v>124</v>
      </c>
      <c r="CI3" s="149"/>
      <c r="CJ3" s="149">
        <v>2009</v>
      </c>
      <c r="CK3" s="149">
        <v>2010</v>
      </c>
      <c r="CL3" s="149">
        <v>2011</v>
      </c>
      <c r="CM3" s="149">
        <v>2012</v>
      </c>
      <c r="CN3" s="149" t="s">
        <v>68</v>
      </c>
      <c r="CO3" s="149" t="s">
        <v>71</v>
      </c>
      <c r="CP3" s="149" t="s">
        <v>72</v>
      </c>
      <c r="CQ3" s="149" t="s">
        <v>74</v>
      </c>
      <c r="CR3" s="149" t="s">
        <v>86</v>
      </c>
      <c r="CS3" s="149" t="s">
        <v>99</v>
      </c>
      <c r="CT3" s="149" t="s">
        <v>104</v>
      </c>
      <c r="CU3" s="149" t="s">
        <v>108</v>
      </c>
      <c r="CV3" s="149" t="s">
        <v>114</v>
      </c>
      <c r="CW3" s="149" t="s">
        <v>118</v>
      </c>
      <c r="CX3" s="149" t="s">
        <v>120</v>
      </c>
      <c r="CY3" s="149" t="s">
        <v>124</v>
      </c>
      <c r="CZ3" s="149"/>
      <c r="DA3" s="149">
        <v>2009</v>
      </c>
      <c r="DB3" s="149">
        <v>2010</v>
      </c>
      <c r="DC3" s="149">
        <v>2011</v>
      </c>
      <c r="DD3" s="149">
        <v>2012</v>
      </c>
      <c r="DE3" s="149" t="s">
        <v>68</v>
      </c>
      <c r="DF3" s="149" t="s">
        <v>71</v>
      </c>
      <c r="DG3" s="149" t="s">
        <v>72</v>
      </c>
      <c r="DH3" s="149" t="s">
        <v>74</v>
      </c>
      <c r="DI3" s="149" t="s">
        <v>86</v>
      </c>
      <c r="DJ3" s="149" t="s">
        <v>99</v>
      </c>
      <c r="DK3" s="149" t="s">
        <v>104</v>
      </c>
      <c r="DL3" s="149" t="s">
        <v>108</v>
      </c>
    </row>
    <row r="4" spans="1:116">
      <c r="A4" s="308" t="s">
        <v>66</v>
      </c>
      <c r="B4" s="309"/>
      <c r="C4" s="217">
        <v>32.9</v>
      </c>
      <c r="D4" s="91">
        <v>35.6</v>
      </c>
      <c r="E4" s="91">
        <v>35</v>
      </c>
      <c r="F4" s="91">
        <v>36.5</v>
      </c>
      <c r="G4" s="91">
        <v>39.1</v>
      </c>
      <c r="H4" s="91">
        <v>39.799999999999997</v>
      </c>
      <c r="I4" s="91">
        <v>40.6</v>
      </c>
      <c r="J4" s="91">
        <v>40</v>
      </c>
      <c r="K4" s="85">
        <v>40.1</v>
      </c>
      <c r="L4" s="85">
        <v>38.299999999999997</v>
      </c>
      <c r="M4" s="85">
        <v>36.4</v>
      </c>
      <c r="N4" s="85">
        <v>33.799999999999997</v>
      </c>
      <c r="O4" s="85">
        <v>32.4</v>
      </c>
      <c r="P4" s="85">
        <v>33.1</v>
      </c>
      <c r="Q4" s="85">
        <v>32.700000000000003</v>
      </c>
      <c r="R4" s="85">
        <v>34</v>
      </c>
      <c r="S4" s="263"/>
      <c r="T4" s="91">
        <v>63.7</v>
      </c>
      <c r="U4" s="91">
        <v>56.2</v>
      </c>
      <c r="V4" s="91">
        <v>59.1</v>
      </c>
      <c r="W4" s="91">
        <v>57.8</v>
      </c>
      <c r="X4" s="91">
        <v>56.6</v>
      </c>
      <c r="Y4" s="85">
        <v>53.8</v>
      </c>
      <c r="Z4" s="85">
        <v>54.7</v>
      </c>
      <c r="AA4" s="85">
        <v>54.9</v>
      </c>
      <c r="AB4" s="85">
        <v>55.6</v>
      </c>
      <c r="AC4" s="85">
        <v>52.6</v>
      </c>
      <c r="AD4" s="85">
        <v>50.7</v>
      </c>
      <c r="AE4" s="85">
        <v>52</v>
      </c>
      <c r="AF4" s="85">
        <v>49.1</v>
      </c>
      <c r="AG4" s="85">
        <v>43.4</v>
      </c>
      <c r="AH4" s="85">
        <v>46.1</v>
      </c>
      <c r="AI4" s="85">
        <v>50.4</v>
      </c>
      <c r="AJ4" s="263"/>
      <c r="AK4" s="91">
        <v>31</v>
      </c>
      <c r="AL4" s="91">
        <v>30.7</v>
      </c>
      <c r="AM4" s="91">
        <v>29.5</v>
      </c>
      <c r="AN4" s="91">
        <v>28.6</v>
      </c>
      <c r="AO4" s="91">
        <v>30.4</v>
      </c>
      <c r="AP4" s="91">
        <v>32.4</v>
      </c>
      <c r="AQ4" s="85">
        <v>29.7</v>
      </c>
      <c r="AR4" s="85">
        <v>29.3</v>
      </c>
      <c r="AS4" s="85">
        <v>29.2</v>
      </c>
      <c r="AT4" s="85">
        <v>28.5</v>
      </c>
      <c r="AU4" s="85">
        <v>30.5</v>
      </c>
      <c r="AV4" s="85">
        <v>28</v>
      </c>
      <c r="AW4" s="85">
        <v>29.6</v>
      </c>
      <c r="AX4" s="85">
        <v>30.9</v>
      </c>
      <c r="AY4" s="85">
        <v>34.5</v>
      </c>
      <c r="AZ4" s="85">
        <v>32.799999999999997</v>
      </c>
      <c r="BA4" s="263"/>
      <c r="BB4" s="91">
        <v>33.299999999999997</v>
      </c>
      <c r="BC4" s="91">
        <v>34.9</v>
      </c>
      <c r="BD4" s="91">
        <v>36.299999999999997</v>
      </c>
      <c r="BE4" s="91">
        <v>37</v>
      </c>
      <c r="BF4" s="91">
        <v>37.700000000000003</v>
      </c>
      <c r="BG4" s="91">
        <v>42.7</v>
      </c>
      <c r="BH4" s="91">
        <v>39.799999999999997</v>
      </c>
      <c r="BI4" s="91">
        <v>39.6</v>
      </c>
      <c r="BJ4" s="85">
        <v>39.4</v>
      </c>
      <c r="BK4" s="85">
        <v>39.299999999999997</v>
      </c>
      <c r="BL4" s="85">
        <v>36.9</v>
      </c>
      <c r="BM4" s="85">
        <v>34.9</v>
      </c>
      <c r="BN4" s="85">
        <v>35.200000000000003</v>
      </c>
      <c r="BO4" s="85">
        <v>34</v>
      </c>
      <c r="BP4" s="85">
        <v>35.4</v>
      </c>
      <c r="BQ4" s="85">
        <v>32.9</v>
      </c>
      <c r="BR4" s="263"/>
      <c r="BS4" s="91">
        <v>32.799999999999997</v>
      </c>
      <c r="BT4" s="91">
        <v>35.299999999999997</v>
      </c>
      <c r="BU4" s="91">
        <v>40.799999999999997</v>
      </c>
      <c r="BV4" s="91">
        <v>43.1</v>
      </c>
      <c r="BW4" s="91">
        <v>44.8</v>
      </c>
      <c r="BX4" s="91">
        <v>45.7</v>
      </c>
      <c r="BY4" s="91">
        <v>44.9</v>
      </c>
      <c r="BZ4" s="91">
        <v>43.6</v>
      </c>
      <c r="CA4" s="91">
        <v>41.2</v>
      </c>
      <c r="CB4" s="91">
        <v>38.200000000000003</v>
      </c>
      <c r="CC4" s="91">
        <v>35.9</v>
      </c>
      <c r="CD4" s="91">
        <v>35</v>
      </c>
      <c r="CE4" s="91">
        <v>34.9</v>
      </c>
      <c r="CF4" s="91">
        <v>34.6</v>
      </c>
      <c r="CG4" s="91">
        <v>36.6</v>
      </c>
      <c r="CH4" s="91">
        <v>36.299999999999997</v>
      </c>
      <c r="CI4" s="263"/>
      <c r="CJ4" s="91">
        <v>36.9</v>
      </c>
      <c r="CK4" s="91">
        <v>36</v>
      </c>
      <c r="CL4" s="91">
        <v>36.4</v>
      </c>
      <c r="CM4" s="91">
        <v>35.700000000000003</v>
      </c>
      <c r="CN4" s="91">
        <v>37.4</v>
      </c>
      <c r="CO4" s="91">
        <v>37.799999999999997</v>
      </c>
      <c r="CP4" s="91">
        <v>38.1</v>
      </c>
      <c r="CQ4" s="85">
        <v>38.9</v>
      </c>
      <c r="CR4" s="85">
        <v>38.6</v>
      </c>
      <c r="CS4" s="85">
        <v>38.5</v>
      </c>
      <c r="CT4" s="85">
        <v>37.4</v>
      </c>
      <c r="CU4" s="85">
        <v>36.200000000000003</v>
      </c>
      <c r="CV4" s="85">
        <v>36.700000000000003</v>
      </c>
      <c r="CW4" s="85">
        <v>37.6</v>
      </c>
      <c r="CX4" s="85">
        <v>38.299999999999997</v>
      </c>
      <c r="CY4" s="85">
        <v>37.799999999999997</v>
      </c>
      <c r="CZ4" s="91"/>
      <c r="DA4" s="91">
        <v>36.299999999999997</v>
      </c>
      <c r="DB4" s="91">
        <v>36.4</v>
      </c>
      <c r="DC4" s="91">
        <v>37.4</v>
      </c>
      <c r="DD4" s="91">
        <v>37.200000000000003</v>
      </c>
      <c r="DE4" s="91">
        <v>38.9</v>
      </c>
      <c r="DF4" s="91">
        <v>40.1</v>
      </c>
      <c r="DG4" s="91">
        <v>39.799999999999997</v>
      </c>
      <c r="DH4" s="91">
        <v>40</v>
      </c>
      <c r="DI4" s="91">
        <v>39.799999999999997</v>
      </c>
      <c r="DJ4" s="91">
        <v>39.200000000000003</v>
      </c>
      <c r="DK4" s="91">
        <v>37.9</v>
      </c>
      <c r="DL4" s="91"/>
    </row>
    <row r="5" spans="1:116">
      <c r="A5" t="s">
        <v>109</v>
      </c>
      <c r="B5"/>
      <c r="C5"/>
      <c r="D5"/>
      <c r="E5"/>
      <c r="F5"/>
      <c r="G5" s="262">
        <f t="shared" ref="G5:R5" si="0">AVERAGE(C4:G4)</f>
        <v>35.82</v>
      </c>
      <c r="H5" s="262">
        <f t="shared" si="0"/>
        <v>37.200000000000003</v>
      </c>
      <c r="I5" s="262">
        <f t="shared" si="0"/>
        <v>38.199999999999996</v>
      </c>
      <c r="J5" s="262">
        <f t="shared" si="0"/>
        <v>39.200000000000003</v>
      </c>
      <c r="K5" s="262">
        <f t="shared" si="0"/>
        <v>39.92</v>
      </c>
      <c r="L5" s="262">
        <f t="shared" si="0"/>
        <v>39.760000000000005</v>
      </c>
      <c r="M5" s="262">
        <f t="shared" si="0"/>
        <v>39.08</v>
      </c>
      <c r="N5" s="262">
        <f t="shared" si="0"/>
        <v>37.719999999999992</v>
      </c>
      <c r="O5" s="262">
        <f t="shared" si="0"/>
        <v>36.200000000000003</v>
      </c>
      <c r="P5" s="262">
        <f t="shared" si="0"/>
        <v>34.799999999999997</v>
      </c>
      <c r="Q5" s="262">
        <f t="shared" si="0"/>
        <v>33.679999999999993</v>
      </c>
      <c r="R5" s="262">
        <f t="shared" si="0"/>
        <v>33.200000000000003</v>
      </c>
      <c r="S5" s="262"/>
      <c r="T5"/>
      <c r="U5"/>
      <c r="V5"/>
      <c r="W5"/>
      <c r="X5" s="262">
        <f t="shared" ref="X5:AI5" si="1">AVERAGE(T4:X4)</f>
        <v>58.680000000000007</v>
      </c>
      <c r="Y5" s="262">
        <f t="shared" si="1"/>
        <v>56.7</v>
      </c>
      <c r="Z5" s="262">
        <f t="shared" si="1"/>
        <v>56.4</v>
      </c>
      <c r="AA5" s="262">
        <f t="shared" si="1"/>
        <v>55.559999999999988</v>
      </c>
      <c r="AB5" s="262">
        <f t="shared" si="1"/>
        <v>55.120000000000005</v>
      </c>
      <c r="AC5" s="262">
        <f t="shared" si="1"/>
        <v>54.320000000000007</v>
      </c>
      <c r="AD5" s="262">
        <f t="shared" si="1"/>
        <v>53.7</v>
      </c>
      <c r="AE5" s="262">
        <f t="shared" si="1"/>
        <v>53.160000000000004</v>
      </c>
      <c r="AF5" s="262">
        <f t="shared" si="1"/>
        <v>52</v>
      </c>
      <c r="AG5" s="262">
        <f t="shared" si="1"/>
        <v>49.56</v>
      </c>
      <c r="AH5" s="262">
        <f t="shared" si="1"/>
        <v>48.260000000000005</v>
      </c>
      <c r="AI5" s="262">
        <f t="shared" si="1"/>
        <v>48.2</v>
      </c>
      <c r="AJ5" s="262"/>
      <c r="AK5"/>
      <c r="AL5"/>
      <c r="AM5"/>
      <c r="AN5"/>
      <c r="AO5" s="262">
        <f>AVERAGE(AK4:AO4)</f>
        <v>30.040000000000003</v>
      </c>
      <c r="AP5" s="262">
        <f t="shared" ref="AP5:AV5" si="2">AVERAGE(AL4:AP4)</f>
        <v>30.320000000000004</v>
      </c>
      <c r="AQ5" s="262">
        <f t="shared" si="2"/>
        <v>30.119999999999997</v>
      </c>
      <c r="AR5" s="262">
        <f>AVERAGE(AN4:AR4)</f>
        <v>30.080000000000002</v>
      </c>
      <c r="AS5" s="262">
        <f>AVERAGE(AO4:AS4)</f>
        <v>30.2</v>
      </c>
      <c r="AT5" s="262">
        <f>AVERAGE(AP4:AT4)</f>
        <v>29.82</v>
      </c>
      <c r="AU5" s="262">
        <f>AVERAGE(AQ4:AU4)</f>
        <v>29.439999999999998</v>
      </c>
      <c r="AV5" s="262">
        <f t="shared" si="2"/>
        <v>29.1</v>
      </c>
      <c r="AW5" s="262">
        <f>AVERAGE(AS4:AW4)</f>
        <v>29.160000000000004</v>
      </c>
      <c r="AX5" s="262">
        <f>AVERAGE(AT4:AX4)</f>
        <v>29.5</v>
      </c>
      <c r="AY5" s="262">
        <f>AVERAGE(AU4:AY4)</f>
        <v>30.7</v>
      </c>
      <c r="AZ5" s="262">
        <f>AVERAGE(AV4:AZ4)</f>
        <v>31.160000000000004</v>
      </c>
      <c r="BA5" s="262"/>
      <c r="BB5"/>
      <c r="BC5"/>
      <c r="BD5"/>
      <c r="BE5"/>
      <c r="BF5" s="262">
        <f>AVERAGE(BB4:BF4)</f>
        <v>35.839999999999996</v>
      </c>
      <c r="BG5" s="262">
        <f t="shared" ref="BG5:BM5" si="3">AVERAGE(BC4:BG4)</f>
        <v>37.719999999999992</v>
      </c>
      <c r="BH5" s="262">
        <f t="shared" si="3"/>
        <v>38.700000000000003</v>
      </c>
      <c r="BI5" s="262">
        <f t="shared" si="3"/>
        <v>39.36</v>
      </c>
      <c r="BJ5" s="262">
        <f t="shared" si="3"/>
        <v>39.840000000000003</v>
      </c>
      <c r="BK5" s="262">
        <f t="shared" si="3"/>
        <v>40.160000000000004</v>
      </c>
      <c r="BL5" s="262">
        <f t="shared" si="3"/>
        <v>39.000000000000007</v>
      </c>
      <c r="BM5" s="262">
        <f t="shared" si="3"/>
        <v>38.019999999999996</v>
      </c>
      <c r="BN5" s="262">
        <f>AVERAGE(BJ4:BN4)</f>
        <v>37.14</v>
      </c>
      <c r="BO5" s="262">
        <f>AVERAGE(BK4:BO4)</f>
        <v>36.06</v>
      </c>
      <c r="BP5" s="262">
        <f>AVERAGE(BL4:BP4)</f>
        <v>35.28</v>
      </c>
      <c r="BQ5" s="262">
        <f>AVERAGE(BM4:BQ4)</f>
        <v>34.480000000000004</v>
      </c>
      <c r="BR5" s="262"/>
      <c r="BS5"/>
      <c r="BT5"/>
      <c r="BU5"/>
      <c r="BV5"/>
      <c r="BW5" s="262">
        <f>AVERAGE(BS4:BW4)</f>
        <v>39.36</v>
      </c>
      <c r="BX5" s="262">
        <f t="shared" ref="BX5:CD5" si="4">AVERAGE(BT4:BX4)</f>
        <v>41.94</v>
      </c>
      <c r="BY5" s="262">
        <f t="shared" si="4"/>
        <v>43.86</v>
      </c>
      <c r="BZ5" s="262">
        <f t="shared" si="4"/>
        <v>44.42</v>
      </c>
      <c r="CA5" s="262">
        <f t="shared" si="4"/>
        <v>44.04</v>
      </c>
      <c r="CB5" s="262">
        <f t="shared" si="4"/>
        <v>42.719999999999992</v>
      </c>
      <c r="CC5" s="262">
        <f t="shared" si="4"/>
        <v>40.76</v>
      </c>
      <c r="CD5" s="262">
        <f t="shared" si="4"/>
        <v>38.78</v>
      </c>
      <c r="CE5" s="262">
        <f>AVERAGE(CA4:CE4)</f>
        <v>37.040000000000006</v>
      </c>
      <c r="CF5" s="262">
        <f>AVERAGE(CB4:CF4)</f>
        <v>35.72</v>
      </c>
      <c r="CG5" s="262">
        <f>AVERAGE(CC4:CG4)</f>
        <v>35.4</v>
      </c>
      <c r="CH5" s="262">
        <f>AVERAGE(CD4:CH4)</f>
        <v>35.479999999999997</v>
      </c>
      <c r="CI5" s="262"/>
      <c r="CJ5"/>
      <c r="CK5"/>
      <c r="CL5"/>
      <c r="CM5"/>
      <c r="CN5" s="262">
        <f>AVERAGE(CJ4:CN4)</f>
        <v>36.480000000000004</v>
      </c>
      <c r="CO5" s="262">
        <f t="shared" ref="CO5:CT5" si="5">AVERAGE(CK4:CO4)</f>
        <v>36.660000000000004</v>
      </c>
      <c r="CP5" s="262">
        <f t="shared" si="5"/>
        <v>37.08</v>
      </c>
      <c r="CQ5" s="262">
        <f t="shared" si="5"/>
        <v>37.58</v>
      </c>
      <c r="CR5" s="262">
        <f t="shared" si="5"/>
        <v>38.159999999999997</v>
      </c>
      <c r="CS5" s="262">
        <f t="shared" si="5"/>
        <v>38.380000000000003</v>
      </c>
      <c r="CT5" s="262">
        <f t="shared" si="5"/>
        <v>38.299999999999997</v>
      </c>
      <c r="CU5" s="262">
        <f>AVERAGE(CQ4:CU4)</f>
        <v>37.92</v>
      </c>
      <c r="CV5" s="262">
        <f>AVERAGE(CR4:CV4)</f>
        <v>37.479999999999997</v>
      </c>
      <c r="CW5" s="262">
        <f>AVERAGE(CS4:CW4)</f>
        <v>37.28</v>
      </c>
      <c r="CX5" s="262">
        <f>AVERAGE(CT4:CX4)</f>
        <v>37.239999999999995</v>
      </c>
      <c r="CY5" s="262">
        <f>AVERAGE(CU4:CY4)</f>
        <v>37.320000000000007</v>
      </c>
      <c r="CZ5" s="262"/>
      <c r="DA5"/>
      <c r="DB5"/>
      <c r="DC5"/>
      <c r="DD5"/>
      <c r="DE5" s="262">
        <f>AVERAGE(DA4:DE4)</f>
        <v>37.24</v>
      </c>
      <c r="DF5" s="262">
        <f t="shared" ref="DF5:DK5" si="6">AVERAGE(DB4:DF4)</f>
        <v>38</v>
      </c>
      <c r="DG5" s="262">
        <f t="shared" si="6"/>
        <v>38.679999999999993</v>
      </c>
      <c r="DH5" s="262">
        <f t="shared" si="6"/>
        <v>39.200000000000003</v>
      </c>
      <c r="DI5" s="262">
        <f t="shared" si="6"/>
        <v>39.720000000000006</v>
      </c>
      <c r="DJ5" s="262">
        <f t="shared" si="6"/>
        <v>39.779999999999994</v>
      </c>
      <c r="DK5" s="262">
        <f t="shared" si="6"/>
        <v>39.340000000000003</v>
      </c>
      <c r="DL5" s="262">
        <f>AVERAGE(DH4:DL4)</f>
        <v>39.225000000000001</v>
      </c>
    </row>
    <row r="6" spans="1:116" ht="15.75" customHeight="1">
      <c r="A6" t="s">
        <v>88</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row>
    <row r="7" spans="1:116" ht="23.25" customHeight="1">
      <c r="A7" t="s">
        <v>89</v>
      </c>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row>
    <row r="8" spans="1:116" ht="30.75" customHeight="1">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row>
    <row r="9" spans="1:116" ht="30.75" customHeight="1">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row>
    <row r="10" spans="1:116" ht="30.75" customHeight="1">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row>
    <row r="11" spans="1:116" ht="30.75" customHeight="1">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row>
    <row r="12" spans="1:116">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row>
    <row r="13" spans="1:116" ht="39" customHeight="1"/>
    <row r="18" spans="1:123" s="3" customFormat="1" ht="27"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151"/>
      <c r="DC18" s="151"/>
      <c r="DD18" s="151"/>
      <c r="DE18" s="151"/>
      <c r="DF18" s="151"/>
      <c r="DG18" s="151"/>
      <c r="DH18" s="151"/>
      <c r="DI18" s="151"/>
      <c r="DJ18" s="151"/>
      <c r="DK18" s="151"/>
      <c r="DL18" s="151"/>
      <c r="DM18"/>
      <c r="DN18"/>
      <c r="DO18"/>
      <c r="DP18"/>
      <c r="DQ18"/>
      <c r="DR18"/>
      <c r="DS18"/>
    </row>
    <row r="19" spans="1:123" s="3" customFormat="1" ht="27"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151"/>
      <c r="BV19" s="151"/>
      <c r="BW19" s="151"/>
      <c r="BX19" s="151"/>
      <c r="BY19" s="151"/>
      <c r="BZ19" s="151"/>
      <c r="CA19" s="151"/>
      <c r="CB19" s="151"/>
      <c r="CC19" s="151"/>
      <c r="CD19" s="151"/>
      <c r="CE19" s="151"/>
      <c r="CF19" s="151"/>
      <c r="CG19" s="151"/>
      <c r="CH19" s="151"/>
      <c r="CI19" s="151"/>
      <c r="CJ19" s="151"/>
      <c r="CK19" s="151"/>
      <c r="CL19" s="151"/>
      <c r="CM19" s="151"/>
      <c r="CN19" s="151"/>
      <c r="CO19" s="151"/>
      <c r="CP19" s="151"/>
      <c r="CQ19" s="151"/>
      <c r="CR19" s="151"/>
      <c r="CS19" s="151"/>
      <c r="CT19" s="151"/>
      <c r="CU19" s="151"/>
      <c r="CV19" s="151"/>
      <c r="CW19" s="151"/>
      <c r="CX19" s="151"/>
      <c r="CY19" s="151"/>
      <c r="CZ19" s="151"/>
      <c r="DA19" s="151"/>
      <c r="DB19" s="151"/>
      <c r="DC19" s="151"/>
      <c r="DD19" s="151"/>
      <c r="DE19" s="151"/>
      <c r="DF19" s="151"/>
      <c r="DG19" s="151"/>
      <c r="DH19" s="151"/>
      <c r="DI19" s="151"/>
      <c r="DJ19" s="151"/>
      <c r="DK19" s="151"/>
      <c r="DL19" s="151"/>
      <c r="DM19"/>
      <c r="DN19"/>
      <c r="DO19"/>
      <c r="DP19"/>
      <c r="DQ19"/>
      <c r="DR19"/>
      <c r="DS19"/>
    </row>
    <row r="20" spans="1:123" s="3" customFormat="1" ht="27"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c r="CP20" s="151"/>
      <c r="CQ20" s="151"/>
      <c r="CR20" s="151"/>
      <c r="CS20" s="151"/>
      <c r="CT20" s="151"/>
      <c r="CU20" s="151"/>
      <c r="CV20" s="151"/>
      <c r="CW20" s="151"/>
      <c r="CX20" s="151"/>
      <c r="CY20" s="151"/>
      <c r="CZ20" s="151"/>
      <c r="DA20" s="151"/>
      <c r="DB20" s="151"/>
      <c r="DC20" s="151"/>
      <c r="DD20" s="151"/>
      <c r="DE20" s="151"/>
      <c r="DF20" s="151"/>
      <c r="DG20" s="151"/>
      <c r="DH20" s="151"/>
      <c r="DI20" s="151"/>
      <c r="DJ20" s="151"/>
      <c r="DK20" s="151"/>
      <c r="DL20" s="151"/>
      <c r="DM20"/>
      <c r="DN20"/>
      <c r="DO20"/>
      <c r="DP20"/>
      <c r="DQ20"/>
      <c r="DR20"/>
      <c r="DS20"/>
    </row>
    <row r="21" spans="1:123" s="3" customFormat="1" ht="7.5"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151"/>
      <c r="DD21" s="151"/>
      <c r="DE21" s="151"/>
      <c r="DF21" s="151"/>
      <c r="DG21" s="151"/>
      <c r="DH21" s="151"/>
      <c r="DI21" s="151"/>
      <c r="DJ21" s="151"/>
      <c r="DK21" s="151"/>
      <c r="DL21" s="151"/>
      <c r="DM21"/>
      <c r="DN21"/>
      <c r="DO21"/>
      <c r="DP21"/>
      <c r="DQ21"/>
      <c r="DR21"/>
      <c r="DS21"/>
    </row>
    <row r="22" spans="1:123" s="3" customFormat="1" ht="7.5"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c r="BI22" s="151"/>
      <c r="BJ22" s="151"/>
      <c r="BK22" s="151"/>
      <c r="BL22" s="151"/>
      <c r="BM22" s="151"/>
      <c r="BN22" s="151"/>
      <c r="BO22" s="151"/>
      <c r="BP22" s="151"/>
      <c r="BQ22" s="151"/>
      <c r="BR22" s="151"/>
      <c r="BS22" s="151"/>
      <c r="BT22" s="151"/>
      <c r="BU22" s="151"/>
      <c r="BV22" s="151"/>
      <c r="BW22" s="151"/>
      <c r="BX22" s="151"/>
      <c r="BY22" s="151"/>
      <c r="BZ22" s="151"/>
      <c r="CA22" s="151"/>
      <c r="CB22" s="151"/>
      <c r="CC22" s="151"/>
      <c r="CD22" s="151"/>
      <c r="CE22" s="151"/>
      <c r="CF22" s="151"/>
      <c r="CG22" s="151"/>
      <c r="CH22" s="151"/>
      <c r="CI22" s="151"/>
      <c r="CJ22" s="151"/>
      <c r="CK22" s="151"/>
      <c r="CL22" s="151"/>
      <c r="CM22" s="151"/>
      <c r="CN22" s="151"/>
      <c r="CO22" s="151"/>
      <c r="CP22" s="151"/>
      <c r="CQ22" s="151"/>
      <c r="CR22" s="151"/>
      <c r="CS22" s="151"/>
      <c r="CT22" s="151"/>
      <c r="CU22" s="151"/>
      <c r="CV22" s="151"/>
      <c r="CW22" s="151"/>
      <c r="CX22" s="151"/>
      <c r="CY22" s="151"/>
      <c r="CZ22" s="151"/>
      <c r="DA22" s="151"/>
      <c r="DB22" s="151"/>
      <c r="DC22" s="151"/>
      <c r="DD22" s="151"/>
      <c r="DE22" s="151"/>
      <c r="DF22" s="151"/>
      <c r="DG22" s="151"/>
      <c r="DH22" s="151"/>
      <c r="DI22" s="151"/>
      <c r="DJ22" s="151"/>
      <c r="DK22" s="151"/>
      <c r="DL22" s="151"/>
      <c r="DM22"/>
      <c r="DN22"/>
      <c r="DO22"/>
      <c r="DP22"/>
      <c r="DQ22"/>
      <c r="DR22"/>
      <c r="DS22"/>
    </row>
    <row r="23" spans="1:123" s="3" customFormat="1" ht="27"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151"/>
      <c r="AM23" s="151"/>
      <c r="AN23" s="151"/>
      <c r="AO23" s="151"/>
      <c r="AP23" s="151"/>
      <c r="AQ23" s="151"/>
      <c r="AR23" s="151"/>
      <c r="AS23" s="151"/>
      <c r="AT23" s="151"/>
      <c r="AU23" s="151"/>
      <c r="AV23" s="151"/>
      <c r="AW23" s="151"/>
      <c r="AX23" s="151"/>
      <c r="AY23" s="151"/>
      <c r="AZ23" s="151"/>
      <c r="BA23" s="151"/>
      <c r="BB23" s="151"/>
      <c r="BC23" s="151"/>
      <c r="BD23" s="151"/>
      <c r="BE23" s="151"/>
      <c r="BF23" s="151"/>
      <c r="BG23" s="151"/>
      <c r="BH23" s="151"/>
      <c r="BI23" s="151"/>
      <c r="BJ23" s="151"/>
      <c r="BK23" s="151"/>
      <c r="BL23" s="151"/>
      <c r="BM23" s="151"/>
      <c r="BN23" s="151"/>
      <c r="BO23" s="151"/>
      <c r="BP23" s="151"/>
      <c r="BQ23" s="151"/>
      <c r="BR23" s="151"/>
      <c r="BS23" s="151"/>
      <c r="BT23" s="151"/>
      <c r="BU23" s="151"/>
      <c r="BV23" s="151"/>
      <c r="BW23" s="151"/>
      <c r="BX23" s="151"/>
      <c r="BY23" s="151"/>
      <c r="BZ23" s="151"/>
      <c r="CA23" s="151"/>
      <c r="CB23" s="151"/>
      <c r="CC23" s="151"/>
      <c r="CD23" s="151"/>
      <c r="CE23" s="151"/>
      <c r="CF23" s="151"/>
      <c r="CG23" s="151"/>
      <c r="CH23" s="151"/>
      <c r="CI23" s="151"/>
      <c r="CJ23" s="151"/>
      <c r="CK23" s="151"/>
      <c r="CL23" s="151"/>
      <c r="CM23" s="151"/>
      <c r="CN23" s="151"/>
      <c r="CO23" s="151"/>
      <c r="CP23" s="151"/>
      <c r="CQ23" s="151"/>
      <c r="CR23" s="151"/>
      <c r="CS23" s="151"/>
      <c r="CT23" s="151"/>
      <c r="CU23" s="151"/>
      <c r="CV23" s="151"/>
      <c r="CW23" s="151"/>
      <c r="CX23" s="151"/>
      <c r="CY23" s="151"/>
      <c r="CZ23" s="151"/>
      <c r="DA23" s="151"/>
      <c r="DB23" s="151"/>
      <c r="DC23" s="151"/>
      <c r="DD23" s="151"/>
      <c r="DE23" s="151"/>
      <c r="DF23" s="151"/>
      <c r="DG23" s="151"/>
      <c r="DH23" s="151"/>
      <c r="DI23" s="151"/>
      <c r="DJ23" s="151"/>
      <c r="DK23" s="151"/>
      <c r="DL23" s="151"/>
      <c r="DM23"/>
      <c r="DN23"/>
      <c r="DO23"/>
      <c r="DP23"/>
      <c r="DQ23"/>
      <c r="DR23"/>
      <c r="DS23"/>
    </row>
    <row r="46" spans="1:116" s="266" customFormat="1" ht="18">
      <c r="A46" s="265"/>
      <c r="B46" s="265"/>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BY46" s="264"/>
      <c r="BZ46" s="264"/>
      <c r="CA46" s="264"/>
      <c r="CB46" s="264"/>
      <c r="CC46" s="264"/>
      <c r="CD46" s="264"/>
      <c r="CE46" s="264"/>
      <c r="CF46" s="264"/>
      <c r="CG46" s="264"/>
      <c r="CH46" s="264"/>
    </row>
    <row r="47" spans="1:116" ht="12.75"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row>
    <row r="48" spans="1:116" ht="12"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row>
    <row r="49" customFormat="1" ht="12.95" customHeight="1"/>
    <row r="50" customFormat="1" ht="12.6" customHeight="1"/>
    <row r="51" customFormat="1" ht="12.6" customHeight="1"/>
    <row r="52" customFormat="1" ht="12.95" customHeight="1"/>
    <row r="53" customFormat="1" ht="12" customHeight="1"/>
    <row r="54" customFormat="1" ht="12.95" customHeight="1"/>
    <row r="55" customFormat="1" ht="12.6" customHeight="1"/>
    <row r="56" customFormat="1" ht="12.6" customHeight="1"/>
    <row r="57" customFormat="1" ht="12.95" customHeight="1"/>
    <row r="58" customFormat="1" ht="12" customHeight="1"/>
    <row r="59" customFormat="1" ht="12.95" customHeight="1"/>
    <row r="60" customFormat="1" ht="12.6" customHeight="1"/>
    <row r="61" customFormat="1" ht="12.6" customHeight="1"/>
    <row r="62" customFormat="1" ht="12.95" customHeight="1"/>
    <row r="63" customFormat="1" ht="12.75" hidden="1" customHeight="1"/>
    <row r="64" customFormat="1" ht="12.75" hidden="1" customHeight="1"/>
    <row r="65" customFormat="1" ht="12.75" hidden="1" customHeight="1"/>
    <row r="66" customFormat="1" ht="12" customHeight="1"/>
    <row r="67" customFormat="1" ht="12.95" customHeight="1"/>
    <row r="68" customFormat="1" ht="12.6" customHeight="1"/>
    <row r="69" customFormat="1" ht="12.6" customHeight="1"/>
    <row r="70" customFormat="1" ht="12.95" customHeight="1"/>
    <row r="71" customFormat="1" ht="12.75" hidden="1" customHeight="1"/>
    <row r="72" customFormat="1" ht="12.75" hidden="1" customHeight="1"/>
    <row r="73" customFormat="1" ht="12.75" hidden="1" customHeight="1"/>
    <row r="74" customFormat="1" ht="12" customHeight="1"/>
    <row r="75" customFormat="1" ht="12.95" customHeight="1"/>
    <row r="76" customFormat="1" ht="12.6" customHeight="1"/>
    <row r="77" customFormat="1" ht="12.6" customHeight="1"/>
    <row r="78" customFormat="1" ht="12.6" customHeight="1"/>
    <row r="79" customFormat="1" ht="12" customHeight="1"/>
    <row r="80" customFormat="1" ht="12.95" customHeight="1"/>
    <row r="81" customFormat="1" ht="12.6" customHeight="1"/>
    <row r="82" customFormat="1" ht="12.6" customHeight="1"/>
    <row r="83" customFormat="1" ht="12.6" customHeight="1"/>
    <row r="84" customFormat="1" ht="12.75" customHeight="1"/>
  </sheetData>
  <mergeCells count="2">
    <mergeCell ref="DF2:DL2"/>
    <mergeCell ref="A4:B4"/>
  </mergeCells>
  <pageMargins left="0.5" right="0.5" top="0.34" bottom="0.5" header="0.3" footer="0.3"/>
  <pageSetup scale="65"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S9"/>
  <sheetViews>
    <sheetView topLeftCell="A16" workbookViewId="0">
      <selection activeCell="A8" sqref="A8:XFD8"/>
    </sheetView>
  </sheetViews>
  <sheetFormatPr defaultRowHeight="12.75"/>
  <cols>
    <col min="1" max="1" width="30.42578125" bestFit="1" customWidth="1"/>
    <col min="2" max="2" width="8.85546875" hidden="1" customWidth="1"/>
    <col min="3" max="7" width="5" hidden="1" customWidth="1"/>
    <col min="8" max="8" width="6.140625" hidden="1" customWidth="1"/>
    <col min="9" max="12" width="5" hidden="1" customWidth="1"/>
    <col min="13" max="15" width="5" bestFit="1" customWidth="1"/>
    <col min="16" max="16" width="5" customWidth="1"/>
    <col min="17" max="17" width="5" bestFit="1" customWidth="1"/>
    <col min="18" max="23" width="5" hidden="1" customWidth="1"/>
    <col min="24" max="24" width="6.140625" hidden="1" customWidth="1"/>
    <col min="25" max="28" width="5" hidden="1" customWidth="1"/>
    <col min="29" max="31" width="5" bestFit="1" customWidth="1"/>
    <col min="32" max="32" width="5" customWidth="1"/>
    <col min="33" max="33" width="5" bestFit="1" customWidth="1"/>
    <col min="34" max="39" width="5" hidden="1" customWidth="1"/>
    <col min="40" max="40" width="6.140625" hidden="1" customWidth="1"/>
    <col min="41" max="44" width="5" hidden="1" customWidth="1"/>
    <col min="45" max="47" width="5" bestFit="1" customWidth="1"/>
    <col min="48" max="48" width="5" customWidth="1"/>
    <col min="49" max="49" width="5" bestFit="1" customWidth="1"/>
    <col min="50" max="55" width="5" hidden="1" customWidth="1"/>
    <col min="56" max="56" width="6.140625" hidden="1" customWidth="1"/>
    <col min="57" max="60" width="5" hidden="1" customWidth="1"/>
    <col min="61" max="63" width="5" bestFit="1" customWidth="1"/>
    <col min="64" max="64" width="5" customWidth="1"/>
    <col min="65" max="65" width="5" bestFit="1" customWidth="1"/>
    <col min="66" max="71" width="5" hidden="1" customWidth="1"/>
    <col min="72" max="72" width="6.140625" hidden="1" customWidth="1"/>
    <col min="73" max="76" width="5" hidden="1" customWidth="1"/>
    <col min="77" max="79" width="5" bestFit="1" customWidth="1"/>
    <col min="80" max="80" width="5" customWidth="1"/>
    <col min="81" max="81" width="5" bestFit="1" customWidth="1"/>
    <col min="82" max="87" width="5" hidden="1" customWidth="1"/>
    <col min="88" max="88" width="6.140625" hidden="1" customWidth="1"/>
    <col min="89" max="92" width="5" hidden="1" customWidth="1"/>
    <col min="93" max="95" width="5" bestFit="1" customWidth="1"/>
    <col min="96" max="96" width="5" customWidth="1"/>
    <col min="97" max="98" width="5" bestFit="1" customWidth="1"/>
  </cols>
  <sheetData>
    <row r="1" spans="1:97" ht="18">
      <c r="A1" s="270" t="s">
        <v>3</v>
      </c>
    </row>
    <row r="3" spans="1:97">
      <c r="B3" s="310" t="s">
        <v>92</v>
      </c>
      <c r="C3" s="289"/>
      <c r="M3" s="238" t="s">
        <v>115</v>
      </c>
      <c r="N3" s="276"/>
      <c r="O3" s="276"/>
      <c r="P3" s="275"/>
      <c r="Q3" s="282"/>
      <c r="R3" s="289" t="s">
        <v>93</v>
      </c>
      <c r="S3" s="289"/>
      <c r="T3" s="250"/>
      <c r="U3" s="250"/>
      <c r="V3" s="250"/>
      <c r="W3" s="250"/>
      <c r="X3" s="250"/>
      <c r="AC3" s="238" t="s">
        <v>93</v>
      </c>
      <c r="AD3" s="277"/>
      <c r="AE3" s="277"/>
      <c r="AF3" s="277"/>
      <c r="AG3" s="285"/>
      <c r="AH3" s="289"/>
      <c r="AI3" s="289"/>
      <c r="AJ3" s="250"/>
      <c r="AK3" s="250"/>
      <c r="AL3" s="250"/>
      <c r="AM3" s="250"/>
      <c r="AN3" s="250"/>
      <c r="AS3" s="280" t="s">
        <v>94</v>
      </c>
      <c r="AT3" s="279"/>
      <c r="AU3" s="279"/>
      <c r="AV3" s="277"/>
      <c r="AW3" s="285"/>
      <c r="AX3" s="289"/>
      <c r="AY3" s="289"/>
      <c r="AZ3" s="231"/>
      <c r="BA3" s="231"/>
      <c r="BB3" s="231"/>
      <c r="BC3" s="231"/>
      <c r="BD3" s="231"/>
      <c r="BI3" s="277" t="s">
        <v>95</v>
      </c>
      <c r="BJ3" s="277"/>
      <c r="BK3" s="277"/>
      <c r="BL3" s="277"/>
      <c r="BM3" s="285"/>
      <c r="BN3" s="289"/>
      <c r="BO3" s="289"/>
      <c r="BP3" s="231"/>
      <c r="BQ3" s="231"/>
      <c r="BR3" s="231"/>
      <c r="BS3" s="231"/>
      <c r="BT3" s="231"/>
      <c r="BY3" s="278" t="s">
        <v>110</v>
      </c>
      <c r="BZ3" s="279"/>
      <c r="CA3" s="279"/>
      <c r="CB3" s="277"/>
      <c r="CC3" s="285"/>
      <c r="CD3" s="289"/>
      <c r="CE3" s="289"/>
      <c r="CF3" s="250"/>
      <c r="CG3" s="250"/>
      <c r="CH3" s="250"/>
      <c r="CI3" s="250"/>
      <c r="CJ3" s="250"/>
      <c r="CO3" s="277" t="s">
        <v>13</v>
      </c>
      <c r="CP3" s="277"/>
      <c r="CQ3" s="277"/>
      <c r="CR3" s="277"/>
      <c r="CS3" s="285"/>
    </row>
    <row r="4" spans="1:97" ht="12.75" customHeight="1">
      <c r="A4" s="219"/>
      <c r="B4" s="267">
        <v>2009</v>
      </c>
      <c r="C4" s="223">
        <v>2010</v>
      </c>
      <c r="D4" s="223">
        <v>2011</v>
      </c>
      <c r="E4" s="223">
        <v>2012</v>
      </c>
      <c r="F4" s="221">
        <v>2013</v>
      </c>
      <c r="G4" s="221" t="s">
        <v>90</v>
      </c>
      <c r="H4" s="221">
        <v>2015</v>
      </c>
      <c r="I4" s="221">
        <v>2016</v>
      </c>
      <c r="J4" s="221">
        <v>2017</v>
      </c>
      <c r="K4" s="221">
        <v>2018</v>
      </c>
      <c r="L4" s="221">
        <v>2019</v>
      </c>
      <c r="M4" s="273">
        <v>2020</v>
      </c>
      <c r="N4" s="273">
        <v>2021</v>
      </c>
      <c r="O4" s="273">
        <v>2022</v>
      </c>
      <c r="P4" s="221">
        <v>2023</v>
      </c>
      <c r="Q4" s="283">
        <v>2024</v>
      </c>
      <c r="R4" s="223">
        <v>2009</v>
      </c>
      <c r="S4" s="223">
        <v>2010</v>
      </c>
      <c r="T4" s="223">
        <v>2011</v>
      </c>
      <c r="U4" s="223">
        <v>2012</v>
      </c>
      <c r="V4" s="221">
        <v>2013</v>
      </c>
      <c r="W4" s="221" t="s">
        <v>90</v>
      </c>
      <c r="X4" s="221">
        <v>2015</v>
      </c>
      <c r="Y4" s="221">
        <v>2016</v>
      </c>
      <c r="Z4" s="221">
        <v>2017</v>
      </c>
      <c r="AA4" s="221">
        <v>2018</v>
      </c>
      <c r="AB4" s="221">
        <v>2019</v>
      </c>
      <c r="AC4" s="221">
        <v>2020</v>
      </c>
      <c r="AD4" s="221">
        <v>2021</v>
      </c>
      <c r="AE4" s="221">
        <v>2022</v>
      </c>
      <c r="AF4" s="221">
        <v>2023</v>
      </c>
      <c r="AG4" s="283">
        <v>2024</v>
      </c>
      <c r="AH4" s="223">
        <v>2009</v>
      </c>
      <c r="AI4" s="223">
        <v>2010</v>
      </c>
      <c r="AJ4" s="223">
        <v>2011</v>
      </c>
      <c r="AK4" s="223">
        <v>2012</v>
      </c>
      <c r="AL4" s="221">
        <v>2013</v>
      </c>
      <c r="AM4" s="221" t="s">
        <v>90</v>
      </c>
      <c r="AN4" s="221">
        <v>2015</v>
      </c>
      <c r="AO4" s="272">
        <v>2016</v>
      </c>
      <c r="AP4" s="221">
        <v>2017</v>
      </c>
      <c r="AQ4" s="221">
        <v>2018</v>
      </c>
      <c r="AR4" s="221">
        <v>2019</v>
      </c>
      <c r="AS4" s="273">
        <v>2020</v>
      </c>
      <c r="AT4" s="273">
        <v>2021</v>
      </c>
      <c r="AU4" s="273">
        <v>2022</v>
      </c>
      <c r="AV4" s="221">
        <v>2023</v>
      </c>
      <c r="AW4" s="283">
        <v>2024</v>
      </c>
      <c r="AX4" s="223">
        <v>2009</v>
      </c>
      <c r="AY4" s="223">
        <v>2010</v>
      </c>
      <c r="AZ4" s="223">
        <v>2011</v>
      </c>
      <c r="BA4" s="223">
        <v>2012</v>
      </c>
      <c r="BB4" s="221">
        <v>2013</v>
      </c>
      <c r="BC4" s="221" t="s">
        <v>90</v>
      </c>
      <c r="BD4" s="221">
        <v>2015</v>
      </c>
      <c r="BE4" s="221">
        <v>2016</v>
      </c>
      <c r="BF4" s="221">
        <v>2017</v>
      </c>
      <c r="BG4" s="221">
        <v>2018</v>
      </c>
      <c r="BH4" s="221">
        <v>2019</v>
      </c>
      <c r="BI4" s="221">
        <v>2020</v>
      </c>
      <c r="BJ4" s="221">
        <v>2021</v>
      </c>
      <c r="BK4" s="221">
        <v>2022</v>
      </c>
      <c r="BL4" s="221">
        <v>2023</v>
      </c>
      <c r="BM4" s="283">
        <v>2024</v>
      </c>
      <c r="BN4" s="223">
        <v>2009</v>
      </c>
      <c r="BO4" s="223">
        <v>2010</v>
      </c>
      <c r="BP4" s="223">
        <v>2011</v>
      </c>
      <c r="BQ4" s="223">
        <v>2012</v>
      </c>
      <c r="BR4" s="221">
        <v>2013</v>
      </c>
      <c r="BS4" s="221" t="s">
        <v>90</v>
      </c>
      <c r="BT4" s="221">
        <v>2015</v>
      </c>
      <c r="BU4" s="272">
        <v>2016</v>
      </c>
      <c r="BV4" s="221">
        <v>2017</v>
      </c>
      <c r="BW4" s="221">
        <v>2018</v>
      </c>
      <c r="BX4" s="221">
        <v>2019</v>
      </c>
      <c r="BY4" s="273">
        <v>2020</v>
      </c>
      <c r="BZ4" s="273">
        <v>2021</v>
      </c>
      <c r="CA4" s="273">
        <v>2022</v>
      </c>
      <c r="CB4" s="221">
        <v>2023</v>
      </c>
      <c r="CC4" s="283">
        <v>2024</v>
      </c>
      <c r="CD4" s="223">
        <v>2009</v>
      </c>
      <c r="CE4" s="223">
        <v>2010</v>
      </c>
      <c r="CF4" s="223">
        <v>2011</v>
      </c>
      <c r="CG4" s="223">
        <v>2012</v>
      </c>
      <c r="CH4" s="221">
        <v>2013</v>
      </c>
      <c r="CI4" s="221" t="s">
        <v>90</v>
      </c>
      <c r="CJ4" s="221">
        <v>2015</v>
      </c>
      <c r="CK4" s="221">
        <v>2016</v>
      </c>
      <c r="CL4" s="221">
        <v>2017</v>
      </c>
      <c r="CM4" s="221">
        <v>2018</v>
      </c>
      <c r="CN4" s="221">
        <v>2019</v>
      </c>
      <c r="CO4" s="221">
        <v>2020</v>
      </c>
      <c r="CP4" s="221">
        <v>2021</v>
      </c>
      <c r="CQ4" s="221">
        <v>2022</v>
      </c>
      <c r="CR4" s="221">
        <v>2023</v>
      </c>
      <c r="CS4" s="283">
        <v>2024</v>
      </c>
    </row>
    <row r="5" spans="1:97" s="251" customFormat="1" ht="12.95" customHeight="1">
      <c r="A5" s="271" t="s">
        <v>111</v>
      </c>
      <c r="B5" s="268">
        <v>9.3000000000000007</v>
      </c>
      <c r="C5" s="250">
        <v>9.3000000000000007</v>
      </c>
      <c r="D5" s="250">
        <v>9.1999999999999993</v>
      </c>
      <c r="E5" s="250">
        <v>10</v>
      </c>
      <c r="F5" s="250">
        <v>10.8</v>
      </c>
      <c r="G5" s="250">
        <v>11.1</v>
      </c>
      <c r="H5" s="250">
        <v>9.8000000000000007</v>
      </c>
      <c r="I5" s="250">
        <v>10.6</v>
      </c>
      <c r="J5" s="250">
        <v>9.1999999999999993</v>
      </c>
      <c r="K5" s="250">
        <v>9.1</v>
      </c>
      <c r="L5" s="250">
        <v>8.6</v>
      </c>
      <c r="M5" s="274">
        <v>7.1</v>
      </c>
      <c r="N5" s="274">
        <v>7.5</v>
      </c>
      <c r="O5" s="274">
        <v>7.9</v>
      </c>
      <c r="P5" s="250">
        <v>8.3000000000000007</v>
      </c>
      <c r="Q5" s="284">
        <v>8.9</v>
      </c>
      <c r="R5" s="250">
        <v>22.8</v>
      </c>
      <c r="S5" s="250">
        <v>21.7</v>
      </c>
      <c r="T5" s="250">
        <v>20.7</v>
      </c>
      <c r="U5" s="250">
        <v>17.3</v>
      </c>
      <c r="V5" s="250">
        <v>20</v>
      </c>
      <c r="W5" s="250">
        <v>24.3</v>
      </c>
      <c r="X5" s="250">
        <v>21.8</v>
      </c>
      <c r="Y5" s="250">
        <v>19.7</v>
      </c>
      <c r="Z5" s="250">
        <v>19.899999999999999</v>
      </c>
      <c r="AA5" s="250">
        <v>17.600000000000001</v>
      </c>
      <c r="AB5" s="250">
        <v>15.3</v>
      </c>
      <c r="AC5" s="250">
        <v>21.1</v>
      </c>
      <c r="AD5" s="250">
        <v>17.8</v>
      </c>
      <c r="AE5" s="250">
        <v>18.2</v>
      </c>
      <c r="AF5" s="250">
        <v>17</v>
      </c>
      <c r="AG5" s="284">
        <v>18.7</v>
      </c>
      <c r="AH5" s="250">
        <v>8.6999999999999993</v>
      </c>
      <c r="AI5" s="250">
        <v>9.1</v>
      </c>
      <c r="AJ5" s="250">
        <v>8.3000000000000007</v>
      </c>
      <c r="AK5" s="250">
        <v>8.1</v>
      </c>
      <c r="AL5" s="250">
        <v>9</v>
      </c>
      <c r="AM5" s="250">
        <v>10.5</v>
      </c>
      <c r="AN5" s="250">
        <v>9.6999999999999993</v>
      </c>
      <c r="AO5" s="268">
        <v>8.5</v>
      </c>
      <c r="AP5" s="250">
        <v>9.6999999999999993</v>
      </c>
      <c r="AQ5" s="250">
        <v>9.1</v>
      </c>
      <c r="AR5" s="250">
        <v>9</v>
      </c>
      <c r="AS5" s="274">
        <v>7.7</v>
      </c>
      <c r="AT5" s="274">
        <v>9.1999999999999993</v>
      </c>
      <c r="AU5" s="274">
        <v>9.1</v>
      </c>
      <c r="AV5" s="250">
        <v>11.5</v>
      </c>
      <c r="AW5" s="284">
        <v>10</v>
      </c>
      <c r="AX5" s="250">
        <v>12.9</v>
      </c>
      <c r="AY5" s="250">
        <v>13.2</v>
      </c>
      <c r="AZ5" s="250">
        <v>13.2</v>
      </c>
      <c r="BA5" s="250">
        <v>14.1</v>
      </c>
      <c r="BB5" s="250">
        <v>14.6</v>
      </c>
      <c r="BC5" s="250">
        <v>16.600000000000001</v>
      </c>
      <c r="BD5" s="250">
        <v>16.5</v>
      </c>
      <c r="BE5" s="250">
        <v>15.9</v>
      </c>
      <c r="BF5" s="250">
        <v>17.2</v>
      </c>
      <c r="BG5" s="250">
        <v>15.6</v>
      </c>
      <c r="BH5" s="250">
        <v>13.4</v>
      </c>
      <c r="BI5" s="250">
        <v>10.6</v>
      </c>
      <c r="BJ5" s="250">
        <v>11.5</v>
      </c>
      <c r="BK5" s="250">
        <v>11.3</v>
      </c>
      <c r="BL5" s="250">
        <v>12.5</v>
      </c>
      <c r="BM5" s="284">
        <v>11.7</v>
      </c>
      <c r="BN5" s="250">
        <v>10.3</v>
      </c>
      <c r="BO5" s="250">
        <v>10.3</v>
      </c>
      <c r="BP5" s="250">
        <v>10.1</v>
      </c>
      <c r="BQ5" s="250">
        <v>9.3000000000000007</v>
      </c>
      <c r="BR5" s="250">
        <v>9.4</v>
      </c>
      <c r="BS5" s="250">
        <v>10.9</v>
      </c>
      <c r="BT5" s="250">
        <v>8.4</v>
      </c>
      <c r="BU5" s="268">
        <v>8.5</v>
      </c>
      <c r="BV5" s="250">
        <v>7.8</v>
      </c>
      <c r="BW5" s="250">
        <v>8.3000000000000007</v>
      </c>
      <c r="BX5" s="250">
        <v>7.9</v>
      </c>
      <c r="BY5" s="274">
        <v>7.9</v>
      </c>
      <c r="BZ5" s="274">
        <v>8.1999999999999993</v>
      </c>
      <c r="CA5" s="274">
        <v>8.1</v>
      </c>
      <c r="CB5" s="250">
        <v>9.9</v>
      </c>
      <c r="CC5" s="284">
        <v>9.6999999999999993</v>
      </c>
      <c r="CD5" s="250">
        <v>12.8</v>
      </c>
      <c r="CE5" s="250">
        <v>13</v>
      </c>
      <c r="CF5" s="250">
        <v>12.7</v>
      </c>
      <c r="CG5" s="250">
        <v>11.8</v>
      </c>
      <c r="CH5" s="250">
        <v>12.4</v>
      </c>
      <c r="CI5" s="250">
        <v>13.8</v>
      </c>
      <c r="CJ5" s="250">
        <v>14.5</v>
      </c>
      <c r="CK5" s="250">
        <v>13.8</v>
      </c>
      <c r="CL5" s="250">
        <v>14.8</v>
      </c>
      <c r="CM5" s="250">
        <v>14.1</v>
      </c>
      <c r="CN5" s="250">
        <v>14.3</v>
      </c>
      <c r="CO5" s="250">
        <v>12.4</v>
      </c>
      <c r="CP5" s="250">
        <v>14</v>
      </c>
      <c r="CQ5" s="250">
        <v>15.1</v>
      </c>
      <c r="CR5" s="250">
        <v>14.6</v>
      </c>
      <c r="CS5" s="284">
        <v>14.9</v>
      </c>
    </row>
    <row r="6" spans="1:97" s="251" customFormat="1" ht="12.95" customHeight="1">
      <c r="A6" s="249" t="s">
        <v>112</v>
      </c>
      <c r="B6" s="269"/>
      <c r="C6" s="250"/>
      <c r="D6" s="250"/>
      <c r="E6" s="250"/>
      <c r="F6" s="250">
        <f>AVERAGE(B5:F5)</f>
        <v>9.7199999999999989</v>
      </c>
      <c r="G6" s="250">
        <f t="shared" ref="G6:L6" si="0">AVERAGE(C5:G5)</f>
        <v>10.08</v>
      </c>
      <c r="H6" s="250">
        <f t="shared" si="0"/>
        <v>10.180000000000001</v>
      </c>
      <c r="I6" s="250">
        <f t="shared" si="0"/>
        <v>10.46</v>
      </c>
      <c r="J6" s="250">
        <f t="shared" si="0"/>
        <v>10.3</v>
      </c>
      <c r="K6" s="250">
        <f t="shared" si="0"/>
        <v>9.9600000000000009</v>
      </c>
      <c r="L6" s="250">
        <f t="shared" si="0"/>
        <v>9.4599999999999991</v>
      </c>
      <c r="M6" s="274">
        <f>AVERAGE(I5:M5)</f>
        <v>8.92</v>
      </c>
      <c r="N6" s="274">
        <f>AVERAGE(J5:N5)</f>
        <v>8.3000000000000007</v>
      </c>
      <c r="O6" s="274">
        <f>AVERAGE(K5:O5)</f>
        <v>8.0399999999999991</v>
      </c>
      <c r="P6" s="274">
        <f>AVERAGE(L5:P5)</f>
        <v>7.8800000000000008</v>
      </c>
      <c r="Q6" s="284">
        <f>AVERAGE(M5:Q5)</f>
        <v>7.94</v>
      </c>
      <c r="R6" s="250"/>
      <c r="T6" s="255"/>
      <c r="V6" s="250">
        <f>AVERAGE(R5:V5)</f>
        <v>20.5</v>
      </c>
      <c r="W6" s="250">
        <f t="shared" ref="W6:AB6" si="1">AVERAGE(S5:W5)</f>
        <v>20.8</v>
      </c>
      <c r="X6" s="250">
        <f t="shared" si="1"/>
        <v>20.82</v>
      </c>
      <c r="Y6" s="250">
        <f t="shared" si="1"/>
        <v>20.619999999999997</v>
      </c>
      <c r="Z6" s="250">
        <f t="shared" si="1"/>
        <v>21.139999999999997</v>
      </c>
      <c r="AA6" s="250">
        <f t="shared" si="1"/>
        <v>20.659999999999997</v>
      </c>
      <c r="AB6" s="250">
        <f t="shared" si="1"/>
        <v>18.86</v>
      </c>
      <c r="AC6" s="250">
        <f>AVERAGE(Y5:AC5)</f>
        <v>18.72</v>
      </c>
      <c r="AD6" s="250">
        <f>AVERAGE(Z5:AD5)</f>
        <v>18.34</v>
      </c>
      <c r="AE6" s="250">
        <f>AVERAGE(AA5:AE5)</f>
        <v>18.000000000000004</v>
      </c>
      <c r="AF6" s="250">
        <f>AVERAGE(AB5:AF5)</f>
        <v>17.880000000000003</v>
      </c>
      <c r="AG6" s="284">
        <f>AVERAGE(AC5:AG5)</f>
        <v>18.560000000000002</v>
      </c>
      <c r="AL6" s="250">
        <f>AVERAGE(AH5:AL5)</f>
        <v>8.6399999999999988</v>
      </c>
      <c r="AM6" s="250">
        <f t="shared" ref="AM6:AR6" si="2">AVERAGE(AI5:AM5)</f>
        <v>9</v>
      </c>
      <c r="AN6" s="250">
        <f t="shared" si="2"/>
        <v>9.1199999999999992</v>
      </c>
      <c r="AO6" s="268">
        <f t="shared" si="2"/>
        <v>9.16</v>
      </c>
      <c r="AP6" s="250">
        <f t="shared" si="2"/>
        <v>9.48</v>
      </c>
      <c r="AQ6" s="250">
        <f t="shared" si="2"/>
        <v>9.5</v>
      </c>
      <c r="AR6" s="250">
        <f t="shared" si="2"/>
        <v>9.1999999999999993</v>
      </c>
      <c r="AS6" s="274">
        <f>AVERAGE(AO5:AS5)</f>
        <v>8.8000000000000007</v>
      </c>
      <c r="AT6" s="274">
        <f>AVERAGE(AP5:AT5)</f>
        <v>8.9400000000000013</v>
      </c>
      <c r="AU6" s="274">
        <f>AVERAGE(AQ5:AU5)</f>
        <v>8.82</v>
      </c>
      <c r="AV6" s="274">
        <f>AVERAGE(AR5:AV5)</f>
        <v>9.3000000000000007</v>
      </c>
      <c r="AW6" s="284">
        <f>AVERAGE(AS5:AW5)</f>
        <v>9.5</v>
      </c>
      <c r="BB6" s="250">
        <f>AVERAGE(AX5:BB5)</f>
        <v>13.6</v>
      </c>
      <c r="BC6" s="250">
        <f t="shared" ref="BC6:BH6" si="3">AVERAGE(AY5:BC5)</f>
        <v>14.34</v>
      </c>
      <c r="BD6" s="250">
        <f t="shared" si="3"/>
        <v>15</v>
      </c>
      <c r="BE6" s="250">
        <f t="shared" si="3"/>
        <v>15.540000000000001</v>
      </c>
      <c r="BF6" s="250">
        <f t="shared" si="3"/>
        <v>16.16</v>
      </c>
      <c r="BG6" s="250">
        <f t="shared" si="3"/>
        <v>16.36</v>
      </c>
      <c r="BH6" s="250">
        <f t="shared" si="3"/>
        <v>15.719999999999999</v>
      </c>
      <c r="BI6" s="250">
        <f>AVERAGE(BE5:BI5)</f>
        <v>14.540000000000001</v>
      </c>
      <c r="BJ6" s="250">
        <f>AVERAGE(BF5:BJ5)</f>
        <v>13.66</v>
      </c>
      <c r="BK6" s="250">
        <f>AVERAGE(BG5:BK5)</f>
        <v>12.48</v>
      </c>
      <c r="BL6" s="250">
        <f>AVERAGE(BH5:BL5)</f>
        <v>11.86</v>
      </c>
      <c r="BM6" s="284">
        <f>AVERAGE(BI5:BM5)</f>
        <v>11.520000000000001</v>
      </c>
      <c r="BR6" s="250">
        <f>AVERAGE(BN5:BR5)</f>
        <v>9.879999999999999</v>
      </c>
      <c r="BS6" s="250">
        <f t="shared" ref="BS6:BX6" si="4">AVERAGE(BO5:BS5)</f>
        <v>10</v>
      </c>
      <c r="BT6" s="250">
        <f t="shared" si="4"/>
        <v>9.6199999999999992</v>
      </c>
      <c r="BU6" s="268">
        <f t="shared" si="4"/>
        <v>9.3000000000000007</v>
      </c>
      <c r="BV6" s="250">
        <f t="shared" si="4"/>
        <v>9</v>
      </c>
      <c r="BW6" s="250">
        <f t="shared" si="4"/>
        <v>8.7800000000000011</v>
      </c>
      <c r="BX6" s="250">
        <f t="shared" si="4"/>
        <v>8.18</v>
      </c>
      <c r="BY6" s="274">
        <f>AVERAGE(BU5:BY5)</f>
        <v>8.08</v>
      </c>
      <c r="BZ6" s="274">
        <f>AVERAGE(BV5:BZ5)</f>
        <v>8.02</v>
      </c>
      <c r="CA6" s="274">
        <f>AVERAGE(BW5:CA5)</f>
        <v>8.08</v>
      </c>
      <c r="CB6" s="274">
        <f>AVERAGE(BX5:CB5)</f>
        <v>8.4</v>
      </c>
      <c r="CC6" s="284">
        <f>AVERAGE(BY5:CC5)</f>
        <v>8.76</v>
      </c>
      <c r="CH6" s="250">
        <f>AVERAGE(CD5:CH5)</f>
        <v>12.54</v>
      </c>
      <c r="CI6" s="250">
        <f>AVERAGE(CE5:CI5)</f>
        <v>12.74</v>
      </c>
      <c r="CJ6" s="250">
        <f t="shared" ref="CJ6:CN6" si="5">AVERAGE(CF5:CJ5)</f>
        <v>13.040000000000001</v>
      </c>
      <c r="CK6" s="250">
        <f t="shared" si="5"/>
        <v>13.26</v>
      </c>
      <c r="CL6" s="250">
        <f t="shared" si="5"/>
        <v>13.86</v>
      </c>
      <c r="CM6" s="250">
        <f t="shared" si="5"/>
        <v>14.2</v>
      </c>
      <c r="CN6" s="250">
        <f t="shared" si="5"/>
        <v>14.3</v>
      </c>
      <c r="CO6" s="250">
        <f>AVERAGE(CK5:CO5)</f>
        <v>13.88</v>
      </c>
      <c r="CP6" s="250">
        <f>AVERAGE(CL5:CP5)</f>
        <v>13.919999999999998</v>
      </c>
      <c r="CQ6" s="250">
        <f>AVERAGE(CM5:CQ5)</f>
        <v>13.979999999999999</v>
      </c>
      <c r="CR6" s="250">
        <f>AVERAGE(CN5:CR5)</f>
        <v>14.080000000000002</v>
      </c>
      <c r="CS6" s="286">
        <f>AVERAGE(CO5:CS5)</f>
        <v>14.2</v>
      </c>
    </row>
    <row r="7" spans="1:97" s="251" customFormat="1" ht="12.95" customHeight="1">
      <c r="A7" s="249"/>
      <c r="B7" s="248"/>
      <c r="C7" s="250"/>
      <c r="D7" s="250"/>
      <c r="E7" s="250"/>
      <c r="F7" s="250"/>
      <c r="G7" s="250"/>
      <c r="H7" s="250"/>
      <c r="I7" s="250"/>
      <c r="J7" s="250"/>
      <c r="K7" s="250"/>
      <c r="L7" s="250"/>
      <c r="M7" s="250"/>
      <c r="N7" s="250"/>
      <c r="O7" s="250"/>
      <c r="P7" s="250"/>
      <c r="Q7" s="250"/>
      <c r="R7" s="250"/>
      <c r="T7" s="255"/>
      <c r="V7" s="250"/>
      <c r="W7" s="250"/>
      <c r="X7" s="250"/>
      <c r="Y7" s="250"/>
      <c r="Z7" s="250"/>
      <c r="AA7" s="250"/>
      <c r="AB7" s="250"/>
      <c r="AC7" s="250"/>
      <c r="AD7" s="250"/>
      <c r="AE7" s="250"/>
      <c r="AF7" s="250"/>
      <c r="AG7" s="250"/>
      <c r="AL7" s="250"/>
      <c r="AM7" s="250"/>
      <c r="AN7" s="250"/>
      <c r="AO7" s="250"/>
      <c r="AP7" s="250"/>
      <c r="AQ7" s="250"/>
      <c r="AR7" s="250"/>
      <c r="AS7" s="250"/>
      <c r="AT7" s="250"/>
      <c r="AU7" s="250"/>
      <c r="AV7" s="250"/>
      <c r="AW7" s="250"/>
      <c r="BB7" s="250"/>
      <c r="BC7" s="250"/>
      <c r="BD7" s="250"/>
      <c r="BE7" s="250"/>
      <c r="BF7" s="250"/>
      <c r="BG7" s="250"/>
      <c r="BH7" s="250"/>
      <c r="BI7" s="250"/>
      <c r="BJ7" s="250"/>
      <c r="BK7" s="250"/>
      <c r="BL7" s="250"/>
      <c r="BM7" s="250"/>
      <c r="BR7" s="250"/>
      <c r="BS7" s="250"/>
      <c r="BT7" s="250"/>
      <c r="BU7" s="250"/>
      <c r="BV7" s="250"/>
      <c r="BW7" s="250"/>
      <c r="BX7" s="250"/>
      <c r="BY7" s="250"/>
      <c r="BZ7" s="250"/>
      <c r="CA7" s="250"/>
      <c r="CB7" s="250"/>
      <c r="CC7" s="250"/>
      <c r="CH7" s="250"/>
      <c r="CI7" s="250"/>
      <c r="CJ7" s="250"/>
      <c r="CK7" s="250"/>
      <c r="CL7" s="250"/>
      <c r="CM7" s="250"/>
      <c r="CN7" s="250"/>
      <c r="CO7" s="250"/>
      <c r="CP7" s="250"/>
      <c r="CQ7" s="250"/>
      <c r="CR7" s="250"/>
      <c r="CS7" s="250"/>
    </row>
    <row r="8" spans="1:97" ht="15.75" customHeight="1">
      <c r="A8" t="s">
        <v>88</v>
      </c>
    </row>
    <row r="9" spans="1:97" ht="23.25" customHeight="1">
      <c r="A9" t="s">
        <v>89</v>
      </c>
    </row>
  </sheetData>
  <mergeCells count="6">
    <mergeCell ref="B3:C3"/>
    <mergeCell ref="CD3:CE3"/>
    <mergeCell ref="R3:S3"/>
    <mergeCell ref="AH3:AI3"/>
    <mergeCell ref="AX3:AY3"/>
    <mergeCell ref="BN3:BO3"/>
  </mergeCells>
  <pageMargins left="0.7" right="0.7" top="0.75" bottom="0.75" header="0.3" footer="0.3"/>
  <pageSetup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51"/>
  <sheetViews>
    <sheetView showGridLines="0" topLeftCell="AD20" zoomScale="90" zoomScaleNormal="165" zoomScaleSheetLayoutView="90" workbookViewId="0">
      <selection activeCell="N16" sqref="N16"/>
    </sheetView>
  </sheetViews>
  <sheetFormatPr defaultColWidth="11.42578125" defaultRowHeight="12.75" customHeight="1"/>
  <cols>
    <col min="1" max="1" width="11.5703125" style="3" customWidth="1"/>
    <col min="2" max="6" width="12.42578125" style="5" customWidth="1"/>
    <col min="7" max="7" width="8.42578125" bestFit="1" customWidth="1"/>
    <col min="8" max="8" width="10.140625" bestFit="1" customWidth="1"/>
    <col min="9" max="9" width="9.140625" bestFit="1" customWidth="1"/>
    <col min="12" max="12" width="11.5703125" style="3" customWidth="1"/>
    <col min="13" max="24" width="12.42578125" style="5" customWidth="1"/>
    <col min="27" max="27" width="11.5703125" style="3" customWidth="1"/>
    <col min="28" max="32" width="12.42578125" style="5" customWidth="1"/>
  </cols>
  <sheetData>
    <row r="1" spans="1:32" ht="15" customHeight="1">
      <c r="A1" s="3" t="s">
        <v>0</v>
      </c>
      <c r="L1" s="3" t="s">
        <v>0</v>
      </c>
      <c r="AA1" s="3" t="s">
        <v>0</v>
      </c>
    </row>
    <row r="2" spans="1:32" ht="17.25" customHeight="1">
      <c r="A2" s="15" t="s">
        <v>20</v>
      </c>
      <c r="B2" s="6"/>
      <c r="C2" s="6"/>
      <c r="D2" s="6"/>
      <c r="E2" s="6"/>
      <c r="F2" s="6"/>
      <c r="L2" s="15" t="s">
        <v>20</v>
      </c>
      <c r="M2" s="6"/>
      <c r="N2" s="6"/>
      <c r="O2" s="6"/>
      <c r="P2" s="6"/>
      <c r="Q2" s="6"/>
      <c r="R2" s="6"/>
      <c r="S2" s="6"/>
      <c r="T2" s="6"/>
      <c r="U2" s="6"/>
      <c r="V2" s="6"/>
      <c r="W2" s="6"/>
      <c r="X2" s="6"/>
      <c r="AA2" s="15" t="s">
        <v>20</v>
      </c>
      <c r="AB2" s="6"/>
      <c r="AC2" s="6"/>
      <c r="AD2" s="6"/>
      <c r="AE2" s="6"/>
      <c r="AF2" s="6"/>
    </row>
    <row r="3" spans="1:32" ht="12" customHeight="1">
      <c r="A3" s="17" t="s">
        <v>19</v>
      </c>
      <c r="B3" s="7"/>
      <c r="C3" s="7"/>
      <c r="D3" s="7"/>
      <c r="E3" s="7"/>
      <c r="F3" s="7"/>
      <c r="L3" s="17" t="s">
        <v>19</v>
      </c>
      <c r="M3" s="7"/>
      <c r="N3" s="7"/>
      <c r="O3" s="7"/>
      <c r="P3" s="7"/>
      <c r="Q3" s="7"/>
      <c r="R3" s="7"/>
      <c r="S3" s="7"/>
      <c r="T3" s="7"/>
      <c r="U3" s="7"/>
      <c r="V3" s="7"/>
      <c r="W3" s="7"/>
      <c r="X3" s="7"/>
      <c r="AA3" s="17" t="s">
        <v>19</v>
      </c>
      <c r="AB3" s="7"/>
      <c r="AC3" s="7"/>
      <c r="AD3" s="7"/>
      <c r="AE3" s="7"/>
      <c r="AF3" s="7"/>
    </row>
    <row r="4" spans="1:32" ht="24.75" customHeight="1">
      <c r="A4" s="17"/>
      <c r="B4" s="18"/>
      <c r="C4" s="18"/>
      <c r="D4" s="18"/>
      <c r="E4" s="18"/>
      <c r="F4" s="18"/>
      <c r="L4" s="17"/>
      <c r="M4" s="18"/>
      <c r="N4" s="18"/>
      <c r="O4" s="18"/>
      <c r="P4" s="18"/>
      <c r="Q4" s="18"/>
      <c r="R4" s="18"/>
      <c r="S4" s="18"/>
      <c r="T4" s="18"/>
      <c r="U4" s="18"/>
      <c r="V4" s="18"/>
      <c r="W4" s="18"/>
      <c r="X4" s="18"/>
      <c r="AA4" s="17"/>
      <c r="AB4" s="18"/>
      <c r="AC4" s="18"/>
      <c r="AD4" s="18"/>
      <c r="AE4" s="18"/>
      <c r="AF4" s="18"/>
    </row>
    <row r="5" spans="1:32">
      <c r="A5" s="82" t="s">
        <v>1</v>
      </c>
      <c r="B5" s="95">
        <v>2008</v>
      </c>
      <c r="C5" s="95">
        <v>2009</v>
      </c>
      <c r="D5" s="95">
        <v>2010</v>
      </c>
      <c r="E5" s="95">
        <v>2011</v>
      </c>
      <c r="F5" s="95">
        <v>2012</v>
      </c>
      <c r="G5" s="83"/>
      <c r="L5" s="82" t="s">
        <v>1</v>
      </c>
      <c r="M5" s="95">
        <v>2008</v>
      </c>
      <c r="N5" s="95">
        <v>2009</v>
      </c>
      <c r="O5" s="95">
        <v>2010</v>
      </c>
      <c r="P5" s="95">
        <v>2011</v>
      </c>
      <c r="Q5" s="95">
        <v>2012</v>
      </c>
      <c r="R5" s="143"/>
      <c r="S5" s="143"/>
      <c r="T5" s="143"/>
      <c r="U5" s="143"/>
      <c r="V5" s="143"/>
      <c r="W5" s="143"/>
      <c r="X5" s="143"/>
      <c r="AA5" s="82" t="s">
        <v>1</v>
      </c>
      <c r="AB5" s="95">
        <v>2008</v>
      </c>
      <c r="AC5" s="95">
        <v>2009</v>
      </c>
      <c r="AD5" s="95">
        <v>2010</v>
      </c>
      <c r="AE5" s="95">
        <v>2011</v>
      </c>
      <c r="AF5" s="95">
        <v>2012</v>
      </c>
    </row>
    <row r="6" spans="1:32" ht="17.25" customHeight="1">
      <c r="A6" s="84" t="s">
        <v>32</v>
      </c>
      <c r="B6" s="85">
        <v>26.7</v>
      </c>
      <c r="C6" s="85">
        <v>27.7</v>
      </c>
      <c r="D6" s="85">
        <v>30</v>
      </c>
      <c r="E6" s="85">
        <v>29.6</v>
      </c>
      <c r="F6" s="85">
        <v>31.4</v>
      </c>
      <c r="G6" s="83"/>
      <c r="L6" s="86" t="s">
        <v>33</v>
      </c>
      <c r="M6" s="87">
        <v>31.8</v>
      </c>
      <c r="N6" s="87">
        <v>32.9</v>
      </c>
      <c r="O6" s="87">
        <v>35.6</v>
      </c>
      <c r="P6" s="87">
        <v>35</v>
      </c>
      <c r="Q6" s="87">
        <v>36.5</v>
      </c>
      <c r="R6" s="87"/>
      <c r="S6" s="87"/>
      <c r="T6" s="87"/>
      <c r="U6" s="87"/>
      <c r="V6" s="87"/>
      <c r="W6" s="87"/>
      <c r="X6" s="87"/>
      <c r="AA6" s="84" t="s">
        <v>32</v>
      </c>
      <c r="AB6" s="85">
        <v>26.7</v>
      </c>
      <c r="AC6" s="85">
        <v>27.7</v>
      </c>
      <c r="AD6" s="85">
        <v>30</v>
      </c>
      <c r="AE6" s="85">
        <v>29.6</v>
      </c>
      <c r="AF6" s="85">
        <v>31.4</v>
      </c>
    </row>
    <row r="7" spans="1:32" ht="17.25" customHeight="1">
      <c r="A7" s="90" t="s">
        <v>35</v>
      </c>
      <c r="B7" s="91">
        <v>59.2</v>
      </c>
      <c r="C7" s="91">
        <v>55.2</v>
      </c>
      <c r="D7" s="91">
        <v>50.6</v>
      </c>
      <c r="E7" s="91">
        <v>53</v>
      </c>
      <c r="F7" s="122">
        <v>51.7</v>
      </c>
      <c r="G7" s="83"/>
      <c r="L7" s="88" t="s">
        <v>34</v>
      </c>
      <c r="M7" s="89">
        <v>8.4</v>
      </c>
      <c r="N7" s="89">
        <v>9.3000000000000007</v>
      </c>
      <c r="O7" s="89">
        <v>9.3000000000000007</v>
      </c>
      <c r="P7" s="89">
        <v>9.1999999999999993</v>
      </c>
      <c r="Q7" s="89">
        <v>10</v>
      </c>
      <c r="R7" s="87"/>
      <c r="S7" s="87"/>
      <c r="T7" s="87"/>
      <c r="U7" s="87"/>
      <c r="V7" s="87"/>
      <c r="W7" s="87"/>
      <c r="X7" s="87"/>
      <c r="AA7" s="86" t="s">
        <v>33</v>
      </c>
      <c r="AB7" s="87">
        <v>31.8</v>
      </c>
      <c r="AC7" s="87">
        <v>32.9</v>
      </c>
      <c r="AD7" s="87">
        <v>35.6</v>
      </c>
      <c r="AE7" s="87">
        <v>35</v>
      </c>
      <c r="AF7" s="87">
        <v>36.5</v>
      </c>
    </row>
    <row r="8" spans="1:32" ht="17.25" customHeight="1">
      <c r="A8" s="90" t="s">
        <v>38</v>
      </c>
      <c r="B8" s="91">
        <v>23.6</v>
      </c>
      <c r="C8" s="91">
        <v>26.3</v>
      </c>
      <c r="D8" s="91">
        <v>26</v>
      </c>
      <c r="E8" s="91">
        <v>24.9</v>
      </c>
      <c r="F8" s="122">
        <v>24.1</v>
      </c>
      <c r="G8" s="83"/>
      <c r="L8" s="86" t="s">
        <v>36</v>
      </c>
      <c r="M8" s="87">
        <v>68.900000000000006</v>
      </c>
      <c r="N8" s="87">
        <v>63.7</v>
      </c>
      <c r="O8" s="87">
        <v>56.2</v>
      </c>
      <c r="P8" s="87">
        <v>59.1</v>
      </c>
      <c r="Q8" s="87">
        <v>57.8</v>
      </c>
      <c r="R8" s="87"/>
      <c r="S8" s="87"/>
      <c r="T8" s="87"/>
      <c r="U8" s="87"/>
      <c r="V8" s="87"/>
      <c r="W8" s="87"/>
      <c r="X8" s="87"/>
      <c r="AA8" s="88" t="s">
        <v>34</v>
      </c>
      <c r="AB8" s="89">
        <v>8.4</v>
      </c>
      <c r="AC8" s="89">
        <v>9.3000000000000007</v>
      </c>
      <c r="AD8" s="89">
        <v>9.3000000000000007</v>
      </c>
      <c r="AE8" s="89">
        <v>9.1999999999999993</v>
      </c>
      <c r="AF8" s="89">
        <v>10</v>
      </c>
    </row>
    <row r="9" spans="1:32" ht="17.25" customHeight="1">
      <c r="A9" s="90" t="s">
        <v>41</v>
      </c>
      <c r="B9" s="91">
        <v>27.4</v>
      </c>
      <c r="C9" s="91">
        <v>29.3</v>
      </c>
      <c r="D9" s="91">
        <v>30.7</v>
      </c>
      <c r="E9" s="91">
        <v>32</v>
      </c>
      <c r="F9" s="122">
        <v>32.700000000000003</v>
      </c>
      <c r="G9" s="83"/>
      <c r="L9" s="88" t="s">
        <v>37</v>
      </c>
      <c r="M9" s="89">
        <v>23.3</v>
      </c>
      <c r="N9" s="89">
        <v>22.8</v>
      </c>
      <c r="O9" s="89">
        <v>21.7</v>
      </c>
      <c r="P9" s="89">
        <v>20.7</v>
      </c>
      <c r="Q9" s="89">
        <v>17.3</v>
      </c>
      <c r="R9" s="87"/>
      <c r="S9" s="87"/>
      <c r="T9" s="87"/>
      <c r="U9" s="87"/>
      <c r="V9" s="87"/>
      <c r="W9" s="87"/>
      <c r="X9" s="87"/>
      <c r="AA9" s="90" t="s">
        <v>35</v>
      </c>
      <c r="AB9" s="91">
        <v>59.2</v>
      </c>
      <c r="AC9" s="91">
        <v>55.2</v>
      </c>
      <c r="AD9" s="91">
        <v>50.6</v>
      </c>
      <c r="AE9" s="91">
        <v>53</v>
      </c>
      <c r="AF9" s="122">
        <v>51.7</v>
      </c>
    </row>
    <row r="10" spans="1:32" ht="17.25" customHeight="1">
      <c r="A10" s="90" t="s">
        <v>44</v>
      </c>
      <c r="B10" s="91">
        <v>27.9</v>
      </c>
      <c r="C10" s="91">
        <v>27.5</v>
      </c>
      <c r="D10" s="91">
        <v>29.3</v>
      </c>
      <c r="E10" s="91">
        <v>32.9</v>
      </c>
      <c r="F10" s="122">
        <v>34.700000000000003</v>
      </c>
      <c r="G10" s="83"/>
      <c r="L10" s="86" t="s">
        <v>39</v>
      </c>
      <c r="M10" s="87">
        <v>27.4</v>
      </c>
      <c r="N10" s="87">
        <v>31</v>
      </c>
      <c r="O10" s="87">
        <v>30.7</v>
      </c>
      <c r="P10" s="87">
        <v>29.5</v>
      </c>
      <c r="Q10" s="87">
        <v>28.6</v>
      </c>
      <c r="R10" s="87"/>
      <c r="S10" s="87"/>
      <c r="T10" s="87"/>
      <c r="U10" s="87"/>
      <c r="V10" s="87"/>
      <c r="W10" s="87"/>
      <c r="X10" s="87"/>
      <c r="AA10" s="86" t="s">
        <v>36</v>
      </c>
      <c r="AB10" s="87">
        <v>68.900000000000006</v>
      </c>
      <c r="AC10" s="87">
        <v>63.7</v>
      </c>
      <c r="AD10" s="87">
        <v>56.2</v>
      </c>
      <c r="AE10" s="87">
        <v>59.1</v>
      </c>
      <c r="AF10" s="87">
        <v>57.8</v>
      </c>
    </row>
    <row r="11" spans="1:32" ht="17.25" customHeight="1">
      <c r="A11" s="140" t="s">
        <v>47</v>
      </c>
      <c r="B11" s="141">
        <v>33.299999999999997</v>
      </c>
      <c r="C11" s="141">
        <v>34.6</v>
      </c>
      <c r="D11" s="141">
        <v>33.9</v>
      </c>
      <c r="E11" s="141">
        <v>34.200000000000003</v>
      </c>
      <c r="F11" s="142">
        <v>33.5</v>
      </c>
      <c r="G11" s="83"/>
      <c r="L11" s="88" t="s">
        <v>40</v>
      </c>
      <c r="M11" s="89">
        <v>8.1</v>
      </c>
      <c r="N11" s="89">
        <v>8.6999999999999993</v>
      </c>
      <c r="O11" s="89">
        <v>9.1</v>
      </c>
      <c r="P11" s="89">
        <v>8.3000000000000007</v>
      </c>
      <c r="Q11" s="89">
        <v>8.1</v>
      </c>
      <c r="R11" s="87"/>
      <c r="S11" s="87"/>
      <c r="T11" s="87"/>
      <c r="U11" s="87"/>
      <c r="V11" s="87"/>
      <c r="W11" s="87"/>
      <c r="X11" s="87"/>
      <c r="AA11" s="88" t="s">
        <v>37</v>
      </c>
      <c r="AB11" s="89">
        <v>23.3</v>
      </c>
      <c r="AC11" s="89">
        <v>22.8</v>
      </c>
      <c r="AD11" s="89">
        <v>21.7</v>
      </c>
      <c r="AE11" s="89">
        <v>20.7</v>
      </c>
      <c r="AF11" s="89">
        <v>17.3</v>
      </c>
    </row>
    <row r="12" spans="1:32" ht="17.25" customHeight="1">
      <c r="A12" s="90" t="s">
        <v>50</v>
      </c>
      <c r="B12" s="91">
        <v>31.4</v>
      </c>
      <c r="C12" s="91">
        <v>32.6</v>
      </c>
      <c r="D12" s="91">
        <v>32.799999999999997</v>
      </c>
      <c r="E12" s="91">
        <v>33.6</v>
      </c>
      <c r="F12" s="91">
        <v>33.4</v>
      </c>
      <c r="G12" s="83"/>
      <c r="L12" s="86" t="s">
        <v>42</v>
      </c>
      <c r="M12" s="87">
        <v>30.8</v>
      </c>
      <c r="N12" s="87">
        <v>33.299999999999997</v>
      </c>
      <c r="O12" s="87">
        <v>34.9</v>
      </c>
      <c r="P12" s="87">
        <v>36.299999999999997</v>
      </c>
      <c r="Q12" s="87">
        <v>37</v>
      </c>
      <c r="R12" s="87"/>
      <c r="S12" s="87"/>
      <c r="T12" s="87"/>
      <c r="U12" s="87"/>
      <c r="V12" s="87"/>
      <c r="W12" s="87"/>
      <c r="X12" s="87"/>
      <c r="AA12" s="90" t="s">
        <v>38</v>
      </c>
      <c r="AB12" s="91">
        <v>23.6</v>
      </c>
      <c r="AC12" s="91">
        <v>26.3</v>
      </c>
      <c r="AD12" s="91">
        <v>26</v>
      </c>
      <c r="AE12" s="91">
        <v>24.9</v>
      </c>
      <c r="AF12" s="122">
        <v>24.1</v>
      </c>
    </row>
    <row r="13" spans="1:32" ht="17.25" customHeight="1">
      <c r="A13" s="23"/>
      <c r="B13" s="25"/>
      <c r="C13" s="25"/>
      <c r="D13" s="25"/>
      <c r="E13" s="25"/>
      <c r="F13" s="25"/>
      <c r="G13" s="83"/>
      <c r="L13" s="88" t="s">
        <v>43</v>
      </c>
      <c r="M13" s="89">
        <v>11.8</v>
      </c>
      <c r="N13" s="89">
        <v>12.9</v>
      </c>
      <c r="O13" s="89">
        <v>13.2</v>
      </c>
      <c r="P13" s="89">
        <v>13.2</v>
      </c>
      <c r="Q13" s="89">
        <v>14.1</v>
      </c>
      <c r="R13" s="87"/>
      <c r="S13" s="87"/>
      <c r="T13" s="87"/>
      <c r="U13" s="87"/>
      <c r="V13" s="87"/>
      <c r="W13" s="87"/>
      <c r="X13" s="87"/>
      <c r="AA13" s="86" t="s">
        <v>39</v>
      </c>
      <c r="AB13" s="87">
        <v>27.4</v>
      </c>
      <c r="AC13" s="87">
        <v>31</v>
      </c>
      <c r="AD13" s="87">
        <v>30.7</v>
      </c>
      <c r="AE13" s="87">
        <v>29.5</v>
      </c>
      <c r="AF13" s="87">
        <v>28.6</v>
      </c>
    </row>
    <row r="14" spans="1:32" ht="17.25" customHeight="1">
      <c r="A14" s="10"/>
      <c r="B14" s="12"/>
      <c r="C14" s="12"/>
      <c r="D14" s="12"/>
      <c r="E14" s="12"/>
      <c r="F14" s="12"/>
      <c r="G14" s="83"/>
      <c r="L14" s="86" t="s">
        <v>45</v>
      </c>
      <c r="M14" s="87">
        <v>33.799999999999997</v>
      </c>
      <c r="N14" s="87">
        <v>32.799999999999997</v>
      </c>
      <c r="O14" s="87">
        <v>35.299999999999997</v>
      </c>
      <c r="P14" s="87">
        <v>40.799999999999997</v>
      </c>
      <c r="Q14" s="87">
        <v>43.1</v>
      </c>
      <c r="R14" s="87"/>
      <c r="S14" s="87"/>
      <c r="T14" s="87"/>
      <c r="U14" s="87"/>
      <c r="V14" s="87"/>
      <c r="W14" s="87"/>
      <c r="X14" s="87"/>
      <c r="AA14" s="88" t="s">
        <v>40</v>
      </c>
      <c r="AB14" s="89">
        <v>8.1</v>
      </c>
      <c r="AC14" s="89">
        <v>8.6999999999999993</v>
      </c>
      <c r="AD14" s="89">
        <v>9.1</v>
      </c>
      <c r="AE14" s="89">
        <v>8.3000000000000007</v>
      </c>
      <c r="AF14" s="89">
        <v>8.1</v>
      </c>
    </row>
    <row r="15" spans="1:32" ht="17.25" customHeight="1">
      <c r="A15" s="13"/>
      <c r="B15" s="11"/>
      <c r="C15" s="11"/>
      <c r="D15" s="11"/>
      <c r="E15" s="11"/>
      <c r="F15" s="11"/>
      <c r="G15" s="83"/>
      <c r="L15" s="88" t="s">
        <v>46</v>
      </c>
      <c r="M15" s="89">
        <v>9.4</v>
      </c>
      <c r="N15" s="89">
        <v>10.3</v>
      </c>
      <c r="O15" s="89">
        <v>10.3</v>
      </c>
      <c r="P15" s="89">
        <v>10.1</v>
      </c>
      <c r="Q15" s="89">
        <v>9.3000000000000007</v>
      </c>
      <c r="R15" s="87"/>
      <c r="S15" s="87"/>
      <c r="T15" s="87"/>
      <c r="U15" s="87"/>
      <c r="V15" s="87"/>
      <c r="W15" s="87"/>
      <c r="X15" s="87"/>
      <c r="AA15" s="90" t="s">
        <v>41</v>
      </c>
      <c r="AB15" s="91">
        <v>27.4</v>
      </c>
      <c r="AC15" s="91">
        <v>29.3</v>
      </c>
      <c r="AD15" s="91">
        <v>30.7</v>
      </c>
      <c r="AE15" s="91">
        <v>32</v>
      </c>
      <c r="AF15" s="122">
        <v>32.700000000000003</v>
      </c>
    </row>
    <row r="16" spans="1:32" ht="17.25" customHeight="1">
      <c r="A16" s="13"/>
      <c r="B16" s="11"/>
      <c r="C16" s="11"/>
      <c r="D16" s="11"/>
      <c r="E16" s="11"/>
      <c r="F16" s="11"/>
      <c r="G16" s="83"/>
      <c r="L16" s="86" t="s">
        <v>48</v>
      </c>
      <c r="M16" s="87">
        <v>35.700000000000003</v>
      </c>
      <c r="N16" s="87">
        <v>36.9</v>
      </c>
      <c r="O16" s="87">
        <v>36</v>
      </c>
      <c r="P16" s="87">
        <v>36.4</v>
      </c>
      <c r="Q16" s="87">
        <v>35.700000000000003</v>
      </c>
      <c r="R16" s="87"/>
      <c r="S16" s="87"/>
      <c r="T16" s="87"/>
      <c r="U16" s="87"/>
      <c r="V16" s="87"/>
      <c r="W16" s="87"/>
      <c r="X16" s="87"/>
      <c r="AA16" s="86" t="s">
        <v>42</v>
      </c>
      <c r="AB16" s="87">
        <v>30.8</v>
      </c>
      <c r="AC16" s="87">
        <v>33.299999999999997</v>
      </c>
      <c r="AD16" s="87">
        <v>34.9</v>
      </c>
      <c r="AE16" s="87">
        <v>36.299999999999997</v>
      </c>
      <c r="AF16" s="87">
        <v>37</v>
      </c>
    </row>
    <row r="17" spans="1:43" ht="17.25" customHeight="1">
      <c r="A17" s="13"/>
      <c r="B17" s="11"/>
      <c r="C17" s="11"/>
      <c r="D17" s="11"/>
      <c r="E17" s="11"/>
      <c r="F17" s="11"/>
      <c r="G17" s="83"/>
      <c r="L17" s="92" t="s">
        <v>49</v>
      </c>
      <c r="M17" s="93">
        <v>12.1</v>
      </c>
      <c r="N17" s="93">
        <v>12.8</v>
      </c>
      <c r="O17" s="93">
        <v>13</v>
      </c>
      <c r="P17" s="93">
        <v>12.7</v>
      </c>
      <c r="Q17" s="93">
        <v>11.8</v>
      </c>
      <c r="R17" s="87"/>
      <c r="S17" s="87"/>
      <c r="T17" s="87"/>
      <c r="U17" s="87"/>
      <c r="V17" s="87"/>
      <c r="W17" s="87"/>
      <c r="X17" s="87"/>
      <c r="AA17" s="88" t="s">
        <v>43</v>
      </c>
      <c r="AB17" s="89">
        <v>11.8</v>
      </c>
      <c r="AC17" s="89">
        <v>12.9</v>
      </c>
      <c r="AD17" s="89">
        <v>13.2</v>
      </c>
      <c r="AE17" s="89">
        <v>13.2</v>
      </c>
      <c r="AF17" s="89">
        <v>14.1</v>
      </c>
    </row>
    <row r="18" spans="1:43" ht="17.25" customHeight="1">
      <c r="A18" s="13"/>
      <c r="B18" s="11"/>
      <c r="C18" s="11"/>
      <c r="D18" s="11"/>
      <c r="E18" s="11"/>
      <c r="F18" s="11"/>
      <c r="G18" s="83"/>
      <c r="L18" s="86" t="s">
        <v>51</v>
      </c>
      <c r="M18" s="87">
        <v>35.1</v>
      </c>
      <c r="N18" s="87">
        <v>36.299999999999997</v>
      </c>
      <c r="O18" s="87">
        <v>36.4</v>
      </c>
      <c r="P18" s="87">
        <v>37.4</v>
      </c>
      <c r="Q18" s="87">
        <v>37.200000000000003</v>
      </c>
      <c r="R18" s="87"/>
      <c r="S18" s="87"/>
      <c r="T18" s="87"/>
      <c r="U18" s="87"/>
      <c r="V18" s="87"/>
      <c r="W18" s="87"/>
      <c r="X18" s="87"/>
      <c r="AA18" s="90" t="s">
        <v>44</v>
      </c>
      <c r="AB18" s="91">
        <v>27.9</v>
      </c>
      <c r="AC18" s="91">
        <v>27.5</v>
      </c>
      <c r="AD18" s="91">
        <v>29.3</v>
      </c>
      <c r="AE18" s="91">
        <v>32.9</v>
      </c>
      <c r="AF18" s="122">
        <v>34.700000000000003</v>
      </c>
    </row>
    <row r="19" spans="1:43" ht="17.25" customHeight="1">
      <c r="A19" s="13"/>
      <c r="B19" s="11"/>
      <c r="C19" s="11"/>
      <c r="D19" s="11"/>
      <c r="E19" s="11"/>
      <c r="F19" s="11"/>
      <c r="G19" s="83"/>
      <c r="L19" s="86" t="s">
        <v>52</v>
      </c>
      <c r="M19" s="87">
        <v>11.1</v>
      </c>
      <c r="N19" s="87">
        <v>12</v>
      </c>
      <c r="O19" s="87">
        <v>12</v>
      </c>
      <c r="P19" s="87">
        <v>11.7</v>
      </c>
      <c r="Q19" s="87">
        <v>11.4</v>
      </c>
      <c r="R19" s="87"/>
      <c r="S19" s="87"/>
      <c r="T19" s="87"/>
      <c r="U19" s="87"/>
      <c r="V19" s="87"/>
      <c r="W19" s="87"/>
      <c r="X19" s="87"/>
      <c r="AA19" s="86" t="s">
        <v>45</v>
      </c>
      <c r="AB19" s="87">
        <v>33.799999999999997</v>
      </c>
      <c r="AC19" s="87">
        <v>32.799999999999997</v>
      </c>
      <c r="AD19" s="87">
        <v>35.299999999999997</v>
      </c>
      <c r="AE19" s="87">
        <v>40.799999999999997</v>
      </c>
      <c r="AF19" s="87">
        <v>43.1</v>
      </c>
    </row>
    <row r="20" spans="1:43" ht="17.25" customHeight="1">
      <c r="A20" s="13"/>
      <c r="B20" s="11"/>
      <c r="C20" s="11"/>
      <c r="D20" s="11"/>
      <c r="E20" s="11"/>
      <c r="F20" s="11"/>
      <c r="G20" s="83"/>
      <c r="L20" s="23"/>
      <c r="M20" s="25"/>
      <c r="N20" s="25"/>
      <c r="O20" s="25"/>
      <c r="P20" s="25"/>
      <c r="Q20" s="25"/>
      <c r="R20" s="25"/>
      <c r="S20" s="25"/>
      <c r="T20" s="25"/>
      <c r="U20" s="25"/>
      <c r="V20" s="25"/>
      <c r="W20" s="25"/>
      <c r="X20" s="25"/>
      <c r="AA20" s="88" t="s">
        <v>46</v>
      </c>
      <c r="AB20" s="89">
        <v>9.4</v>
      </c>
      <c r="AC20" s="89">
        <v>10.3</v>
      </c>
      <c r="AD20" s="89">
        <v>10.3</v>
      </c>
      <c r="AE20" s="89">
        <v>10.1</v>
      </c>
      <c r="AF20" s="89">
        <v>9.3000000000000007</v>
      </c>
    </row>
    <row r="21" spans="1:43" ht="17.25" customHeight="1">
      <c r="A21" s="13"/>
      <c r="B21" s="11"/>
      <c r="C21" s="11"/>
      <c r="D21" s="11"/>
      <c r="E21" s="11"/>
      <c r="F21" s="11"/>
      <c r="G21" s="83"/>
      <c r="L21" s="13"/>
      <c r="M21" s="11"/>
      <c r="N21" s="11"/>
      <c r="O21" s="11"/>
      <c r="P21" s="11"/>
      <c r="Q21" s="11"/>
      <c r="R21" s="11"/>
      <c r="S21" s="11"/>
      <c r="T21" s="11"/>
      <c r="U21" s="11"/>
      <c r="V21" s="11"/>
      <c r="W21" s="11"/>
      <c r="X21" s="11"/>
      <c r="AA21" s="90" t="s">
        <v>47</v>
      </c>
      <c r="AB21" s="91">
        <v>33.299999999999997</v>
      </c>
      <c r="AC21" s="91">
        <v>34.6</v>
      </c>
      <c r="AD21" s="91">
        <v>33.9</v>
      </c>
      <c r="AE21" s="91">
        <v>34.200000000000003</v>
      </c>
      <c r="AF21" s="122">
        <v>33.5</v>
      </c>
    </row>
    <row r="22" spans="1:43" ht="17.25" customHeight="1">
      <c r="L22" s="13"/>
      <c r="M22" s="11"/>
      <c r="N22" s="11"/>
      <c r="O22" s="11"/>
      <c r="P22" s="11"/>
      <c r="Q22" s="11"/>
      <c r="R22" s="11"/>
      <c r="S22" s="11"/>
      <c r="T22" s="11"/>
      <c r="U22" s="11"/>
      <c r="V22" s="11"/>
      <c r="W22" s="11"/>
      <c r="X22" s="11"/>
      <c r="AA22" s="86" t="s">
        <v>48</v>
      </c>
      <c r="AB22" s="87">
        <v>35.700000000000003</v>
      </c>
      <c r="AC22" s="87">
        <v>36.9</v>
      </c>
      <c r="AD22" s="87">
        <v>36</v>
      </c>
      <c r="AE22" s="87">
        <v>36.4</v>
      </c>
      <c r="AF22" s="87">
        <v>35.700000000000003</v>
      </c>
    </row>
    <row r="23" spans="1:43" ht="17.25" customHeight="1">
      <c r="G23" s="83"/>
      <c r="H23" s="83"/>
      <c r="I23" s="83"/>
      <c r="J23" s="83"/>
      <c r="L23" s="13"/>
      <c r="M23" s="11"/>
      <c r="N23" s="11"/>
      <c r="O23" s="11"/>
      <c r="P23" s="11"/>
      <c r="Q23" s="11"/>
      <c r="R23" s="11"/>
      <c r="S23" s="11"/>
      <c r="T23" s="11"/>
      <c r="U23" s="11"/>
      <c r="V23" s="11"/>
      <c r="W23" s="11"/>
      <c r="X23" s="11"/>
      <c r="AA23" s="92" t="s">
        <v>49</v>
      </c>
      <c r="AB23" s="93">
        <v>12.1</v>
      </c>
      <c r="AC23" s="93">
        <v>12.8</v>
      </c>
      <c r="AD23" s="93">
        <v>13</v>
      </c>
      <c r="AE23" s="93">
        <v>12.7</v>
      </c>
      <c r="AF23" s="93">
        <v>11.8</v>
      </c>
    </row>
    <row r="24" spans="1:43" ht="17.25" customHeight="1">
      <c r="G24" s="83"/>
      <c r="H24" s="83"/>
      <c r="I24" s="83"/>
      <c r="J24" s="83"/>
      <c r="L24" s="13"/>
      <c r="M24" s="11"/>
      <c r="N24" s="11"/>
      <c r="O24" s="11"/>
      <c r="P24" s="11"/>
      <c r="Q24" s="11"/>
      <c r="R24" s="11"/>
      <c r="S24" s="11"/>
      <c r="T24" s="11"/>
      <c r="U24" s="11"/>
      <c r="V24" s="11"/>
      <c r="W24" s="11"/>
      <c r="X24" s="11"/>
      <c r="AA24" s="90" t="s">
        <v>50</v>
      </c>
      <c r="AB24" s="91">
        <v>31.4</v>
      </c>
      <c r="AC24" s="91">
        <v>32.6</v>
      </c>
      <c r="AD24" s="85">
        <v>32.799999999999997</v>
      </c>
      <c r="AE24" s="85">
        <v>33.6</v>
      </c>
      <c r="AF24" s="91">
        <v>33.4</v>
      </c>
    </row>
    <row r="25" spans="1:43" ht="17.25" customHeight="1">
      <c r="G25" s="83"/>
      <c r="H25" s="83"/>
      <c r="I25" s="83"/>
      <c r="J25" s="83"/>
      <c r="L25" s="13"/>
      <c r="M25" s="11"/>
      <c r="N25" s="11"/>
      <c r="O25" s="11"/>
      <c r="P25" s="11"/>
      <c r="Q25" s="11"/>
      <c r="R25" s="11"/>
      <c r="S25" s="11"/>
      <c r="T25" s="11"/>
      <c r="U25" s="11"/>
      <c r="V25" s="11"/>
      <c r="W25" s="11"/>
      <c r="X25" s="11"/>
      <c r="AA25" s="86" t="s">
        <v>51</v>
      </c>
      <c r="AB25" s="87">
        <v>35.1</v>
      </c>
      <c r="AC25" s="87">
        <v>36.299999999999997</v>
      </c>
      <c r="AD25" s="87">
        <v>36.4</v>
      </c>
      <c r="AE25" s="87">
        <v>37.4</v>
      </c>
      <c r="AF25" s="87">
        <v>37.200000000000003</v>
      </c>
    </row>
    <row r="26" spans="1:43" ht="17.25" customHeight="1">
      <c r="L26" s="13"/>
      <c r="M26" s="11"/>
      <c r="N26" s="11"/>
      <c r="O26" s="11"/>
      <c r="P26" s="11"/>
      <c r="Q26" s="11"/>
      <c r="R26" s="11"/>
      <c r="S26" s="11"/>
      <c r="T26" s="11"/>
      <c r="U26" s="11"/>
      <c r="V26" s="11"/>
      <c r="W26" s="11"/>
      <c r="X26" s="11"/>
      <c r="AA26" s="86" t="s">
        <v>52</v>
      </c>
      <c r="AB26" s="87">
        <v>11.1</v>
      </c>
      <c r="AC26" s="87">
        <v>12</v>
      </c>
      <c r="AD26" s="87">
        <v>12</v>
      </c>
      <c r="AE26" s="87">
        <v>11.7</v>
      </c>
      <c r="AF26" s="87">
        <v>11.4</v>
      </c>
    </row>
    <row r="27" spans="1:43" ht="17.25" customHeight="1">
      <c r="L27" s="13"/>
      <c r="M27" s="11"/>
      <c r="N27" s="11"/>
      <c r="O27" s="11"/>
      <c r="P27" s="11"/>
      <c r="Q27" s="11"/>
      <c r="R27" s="11"/>
      <c r="S27" s="11"/>
      <c r="T27" s="11"/>
      <c r="U27" s="11"/>
      <c r="V27" s="11"/>
      <c r="W27" s="11"/>
      <c r="X27" s="11"/>
      <c r="AA27" s="86"/>
      <c r="AB27" s="87"/>
      <c r="AC27" s="87"/>
      <c r="AD27" s="87"/>
      <c r="AE27" s="87"/>
      <c r="AF27" s="87"/>
    </row>
    <row r="28" spans="1:43" ht="17.25" customHeight="1">
      <c r="L28" s="13"/>
      <c r="M28" s="11"/>
      <c r="N28" s="11"/>
      <c r="O28" s="11"/>
      <c r="P28" s="11"/>
      <c r="Q28" s="11"/>
      <c r="R28" s="11"/>
      <c r="S28" s="11"/>
      <c r="T28" s="11"/>
      <c r="U28" s="11"/>
      <c r="V28" s="11"/>
      <c r="W28" s="11"/>
      <c r="X28" s="11"/>
      <c r="AA28" s="86"/>
      <c r="AB28" s="87"/>
      <c r="AC28" s="87"/>
      <c r="AD28" s="87"/>
      <c r="AE28" s="87"/>
      <c r="AF28" s="87"/>
    </row>
    <row r="29" spans="1:43" s="145" customFormat="1" ht="34.5" customHeight="1">
      <c r="E29" s="311">
        <v>2008</v>
      </c>
      <c r="F29" s="311"/>
      <c r="G29" s="311"/>
      <c r="H29" s="311"/>
      <c r="I29" s="311"/>
      <c r="J29" s="311"/>
      <c r="K29" s="311"/>
      <c r="M29" s="311">
        <v>2009</v>
      </c>
      <c r="N29" s="311"/>
      <c r="O29" s="311"/>
      <c r="P29" s="311"/>
      <c r="Q29" s="311"/>
      <c r="R29" s="311"/>
      <c r="S29" s="311"/>
      <c r="U29" s="311">
        <v>2010</v>
      </c>
      <c r="V29" s="311"/>
      <c r="W29" s="311"/>
      <c r="X29" s="311"/>
      <c r="Y29" s="311"/>
      <c r="Z29" s="311"/>
      <c r="AA29" s="311"/>
      <c r="AC29" s="311">
        <v>2011</v>
      </c>
      <c r="AD29" s="311"/>
      <c r="AE29" s="311"/>
      <c r="AF29" s="311"/>
      <c r="AG29" s="311"/>
      <c r="AH29" s="311"/>
      <c r="AI29" s="311"/>
      <c r="AK29" s="311">
        <v>2012</v>
      </c>
      <c r="AL29" s="311"/>
      <c r="AM29" s="311"/>
      <c r="AN29" s="311"/>
      <c r="AO29" s="311"/>
      <c r="AP29" s="311"/>
      <c r="AQ29" s="311"/>
    </row>
    <row r="30" spans="1:43" s="146" customFormat="1" ht="30.75" customHeight="1">
      <c r="B30" s="147"/>
      <c r="C30" s="147"/>
      <c r="D30" s="148"/>
      <c r="E30" s="148" t="s">
        <v>61</v>
      </c>
      <c r="F30" s="148" t="s">
        <v>10</v>
      </c>
      <c r="G30" s="148" t="s">
        <v>11</v>
      </c>
      <c r="H30" s="148" t="s">
        <v>12</v>
      </c>
      <c r="I30" s="148" t="s">
        <v>21</v>
      </c>
      <c r="J30" s="148" t="s">
        <v>13</v>
      </c>
      <c r="K30" s="148" t="s">
        <v>62</v>
      </c>
      <c r="L30" s="148"/>
      <c r="M30" s="148" t="s">
        <v>61</v>
      </c>
      <c r="N30" s="148" t="s">
        <v>10</v>
      </c>
      <c r="O30" s="148" t="s">
        <v>11</v>
      </c>
      <c r="P30" s="148" t="s">
        <v>12</v>
      </c>
      <c r="Q30" s="148" t="s">
        <v>21</v>
      </c>
      <c r="R30" s="148" t="s">
        <v>13</v>
      </c>
      <c r="S30" s="148" t="s">
        <v>62</v>
      </c>
      <c r="T30" s="148"/>
      <c r="U30" s="148" t="s">
        <v>61</v>
      </c>
      <c r="V30" s="148" t="s">
        <v>10</v>
      </c>
      <c r="W30" s="148" t="s">
        <v>11</v>
      </c>
      <c r="X30" s="148" t="s">
        <v>12</v>
      </c>
      <c r="Y30" s="148" t="s">
        <v>21</v>
      </c>
      <c r="Z30" s="148" t="s">
        <v>13</v>
      </c>
      <c r="AA30" s="148" t="s">
        <v>62</v>
      </c>
      <c r="AB30" s="148"/>
      <c r="AC30" s="148" t="s">
        <v>61</v>
      </c>
      <c r="AD30" s="148" t="s">
        <v>10</v>
      </c>
      <c r="AE30" s="148" t="s">
        <v>11</v>
      </c>
      <c r="AF30" s="148" t="s">
        <v>12</v>
      </c>
      <c r="AG30" s="148" t="s">
        <v>21</v>
      </c>
      <c r="AH30" s="148" t="s">
        <v>13</v>
      </c>
      <c r="AI30" s="148" t="s">
        <v>62</v>
      </c>
      <c r="AJ30" s="148"/>
      <c r="AK30" s="148" t="s">
        <v>61</v>
      </c>
      <c r="AL30" s="148" t="s">
        <v>10</v>
      </c>
      <c r="AM30" s="148" t="s">
        <v>11</v>
      </c>
      <c r="AN30" s="148" t="s">
        <v>12</v>
      </c>
      <c r="AO30" s="148" t="s">
        <v>21</v>
      </c>
      <c r="AP30" s="148" t="s">
        <v>13</v>
      </c>
      <c r="AQ30" s="148" t="s">
        <v>62</v>
      </c>
    </row>
    <row r="31" spans="1:43" ht="30.75" customHeight="1">
      <c r="C31"/>
      <c r="D31" s="144" t="s">
        <v>63</v>
      </c>
      <c r="E31" s="87">
        <v>31.8</v>
      </c>
      <c r="F31" s="87">
        <v>68.900000000000006</v>
      </c>
      <c r="G31" s="87">
        <v>27.4</v>
      </c>
      <c r="H31" s="87">
        <v>30.8</v>
      </c>
      <c r="I31" s="87">
        <v>33.799999999999997</v>
      </c>
      <c r="J31" s="87">
        <v>35.700000000000003</v>
      </c>
      <c r="K31" s="87">
        <v>35.1</v>
      </c>
      <c r="L31" s="143"/>
      <c r="M31" s="87">
        <v>32.9</v>
      </c>
      <c r="N31" s="87">
        <v>63.7</v>
      </c>
      <c r="O31" s="87">
        <v>31</v>
      </c>
      <c r="P31" s="87">
        <v>33.299999999999997</v>
      </c>
      <c r="Q31" s="87">
        <v>32.799999999999997</v>
      </c>
      <c r="R31" s="87">
        <v>36.9</v>
      </c>
      <c r="S31" s="87">
        <v>36.299999999999997</v>
      </c>
      <c r="T31" s="143"/>
      <c r="U31" s="87">
        <v>35.6</v>
      </c>
      <c r="V31" s="87">
        <v>56.2</v>
      </c>
      <c r="W31" s="87">
        <v>30.7</v>
      </c>
      <c r="X31" s="87">
        <v>34.9</v>
      </c>
      <c r="Y31" s="87">
        <v>35.299999999999997</v>
      </c>
      <c r="Z31" s="87">
        <v>36</v>
      </c>
      <c r="AA31" s="87">
        <v>36.4</v>
      </c>
      <c r="AB31" s="143"/>
      <c r="AC31" s="87">
        <v>35</v>
      </c>
      <c r="AD31" s="87">
        <v>59.1</v>
      </c>
      <c r="AE31" s="87">
        <v>29.5</v>
      </c>
      <c r="AF31" s="87">
        <v>36.299999999999997</v>
      </c>
      <c r="AG31" s="87">
        <v>40.799999999999997</v>
      </c>
      <c r="AH31" s="87">
        <v>36.4</v>
      </c>
      <c r="AI31" s="87">
        <v>37.4</v>
      </c>
      <c r="AJ31" s="143"/>
      <c r="AK31" s="87">
        <v>36.5</v>
      </c>
      <c r="AL31" s="87">
        <v>57.8</v>
      </c>
      <c r="AM31" s="87">
        <v>28.6</v>
      </c>
      <c r="AN31" s="87">
        <v>37</v>
      </c>
      <c r="AO31" s="87">
        <v>43.1</v>
      </c>
      <c r="AP31" s="87">
        <v>35.700000000000003</v>
      </c>
      <c r="AQ31" s="87">
        <v>37.200000000000003</v>
      </c>
    </row>
    <row r="32" spans="1:43" ht="30.75" customHeight="1">
      <c r="C32"/>
      <c r="D32" s="144" t="s">
        <v>64</v>
      </c>
      <c r="E32" s="87">
        <v>8.4</v>
      </c>
      <c r="F32" s="87">
        <v>23.3</v>
      </c>
      <c r="G32" s="87">
        <v>8.1</v>
      </c>
      <c r="H32" s="87">
        <v>11.8</v>
      </c>
      <c r="I32" s="87">
        <v>9.4</v>
      </c>
      <c r="J32" s="87">
        <v>12.1</v>
      </c>
      <c r="K32" s="87">
        <v>11.1</v>
      </c>
      <c r="L32" s="143"/>
      <c r="M32" s="87">
        <v>9.3000000000000007</v>
      </c>
      <c r="N32" s="87">
        <v>22.8</v>
      </c>
      <c r="O32" s="87">
        <v>8.6999999999999993</v>
      </c>
      <c r="P32" s="87">
        <v>12.9</v>
      </c>
      <c r="Q32" s="87">
        <v>10.3</v>
      </c>
      <c r="R32" s="87">
        <v>12.8</v>
      </c>
      <c r="S32" s="87">
        <v>12</v>
      </c>
      <c r="T32" s="143"/>
      <c r="U32" s="87">
        <v>9.3000000000000007</v>
      </c>
      <c r="V32" s="87">
        <v>21.7</v>
      </c>
      <c r="W32" s="87">
        <v>9.1</v>
      </c>
      <c r="X32" s="87">
        <v>13.2</v>
      </c>
      <c r="Y32" s="87">
        <v>10.3</v>
      </c>
      <c r="Z32" s="87">
        <v>13</v>
      </c>
      <c r="AA32" s="87">
        <v>12</v>
      </c>
      <c r="AB32" s="143"/>
      <c r="AC32" s="87">
        <v>9.1999999999999993</v>
      </c>
      <c r="AD32" s="87">
        <v>20.7</v>
      </c>
      <c r="AE32" s="87">
        <v>8.3000000000000007</v>
      </c>
      <c r="AF32" s="87">
        <v>13.2</v>
      </c>
      <c r="AG32" s="87">
        <v>10.1</v>
      </c>
      <c r="AH32" s="87">
        <v>12.7</v>
      </c>
      <c r="AI32" s="87">
        <v>11.7</v>
      </c>
      <c r="AJ32" s="143"/>
      <c r="AK32" s="87">
        <v>10</v>
      </c>
      <c r="AL32" s="87">
        <v>17.3</v>
      </c>
      <c r="AM32" s="87">
        <v>8.1</v>
      </c>
      <c r="AN32" s="87">
        <v>14.1</v>
      </c>
      <c r="AO32" s="87">
        <v>9.3000000000000007</v>
      </c>
      <c r="AP32" s="87">
        <v>11.8</v>
      </c>
      <c r="AQ32" s="87">
        <v>11.4</v>
      </c>
    </row>
    <row r="33" spans="2:52" ht="30.75" hidden="1" customHeight="1">
      <c r="D33" s="143" t="s">
        <v>53</v>
      </c>
      <c r="E33" s="87">
        <v>32.9</v>
      </c>
      <c r="F33" s="87">
        <v>63.7</v>
      </c>
      <c r="G33" s="87">
        <v>31</v>
      </c>
      <c r="H33" s="87">
        <v>33.299999999999997</v>
      </c>
      <c r="I33" s="87">
        <v>32.799999999999997</v>
      </c>
      <c r="J33" s="87">
        <v>36.9</v>
      </c>
      <c r="K33" s="87">
        <v>36.299999999999997</v>
      </c>
      <c r="L33" s="87"/>
      <c r="M33"/>
      <c r="U33"/>
      <c r="V33"/>
      <c r="W33" s="13"/>
      <c r="X33" s="11"/>
      <c r="Y33" s="11"/>
      <c r="Z33" s="11"/>
      <c r="AA33" s="11"/>
      <c r="AB33" s="11"/>
      <c r="AC33" s="11"/>
      <c r="AD33"/>
      <c r="AE33"/>
      <c r="AF33"/>
    </row>
    <row r="34" spans="2:52" ht="30.75" hidden="1" customHeight="1">
      <c r="D34" s="143" t="s">
        <v>54</v>
      </c>
      <c r="E34" s="87">
        <v>9.3000000000000007</v>
      </c>
      <c r="F34" s="87">
        <v>22.8</v>
      </c>
      <c r="G34" s="87">
        <v>8.6999999999999993</v>
      </c>
      <c r="H34" s="87">
        <v>12.9</v>
      </c>
      <c r="I34" s="87">
        <v>10.3</v>
      </c>
      <c r="J34" s="87">
        <v>12.8</v>
      </c>
      <c r="K34" s="87">
        <v>12</v>
      </c>
      <c r="L34" s="87"/>
      <c r="M34" s="87"/>
      <c r="U34"/>
      <c r="V34"/>
      <c r="W34" s="13"/>
      <c r="X34" s="11"/>
      <c r="Y34" s="11"/>
      <c r="Z34" s="11"/>
      <c r="AA34" s="11"/>
      <c r="AB34" s="11"/>
      <c r="AC34" s="11"/>
      <c r="AD34"/>
      <c r="AE34"/>
      <c r="AF34"/>
    </row>
    <row r="35" spans="2:52" ht="30.75" hidden="1" customHeight="1">
      <c r="D35" s="143" t="s">
        <v>55</v>
      </c>
      <c r="E35" s="87">
        <v>35.6</v>
      </c>
      <c r="F35" s="87">
        <v>56.2</v>
      </c>
      <c r="G35" s="87">
        <v>30.7</v>
      </c>
      <c r="H35" s="87">
        <v>34.9</v>
      </c>
      <c r="I35" s="87">
        <v>35.299999999999997</v>
      </c>
      <c r="J35" s="87">
        <v>36</v>
      </c>
      <c r="K35" s="87">
        <v>36.4</v>
      </c>
      <c r="L35" s="87"/>
      <c r="M35"/>
      <c r="U35"/>
      <c r="V35"/>
      <c r="W35" s="13"/>
      <c r="X35" s="11"/>
      <c r="Y35" s="11"/>
      <c r="Z35" s="11"/>
      <c r="AA35" s="11"/>
      <c r="AB35" s="11"/>
      <c r="AC35" s="11"/>
      <c r="AD35"/>
      <c r="AE35"/>
      <c r="AF35"/>
    </row>
    <row r="36" spans="2:52" ht="30.75" hidden="1" customHeight="1">
      <c r="D36" s="143" t="s">
        <v>56</v>
      </c>
      <c r="E36" s="87">
        <v>9.3000000000000007</v>
      </c>
      <c r="F36" s="87">
        <v>21.7</v>
      </c>
      <c r="G36" s="87">
        <v>9.1</v>
      </c>
      <c r="H36" s="87">
        <v>13.2</v>
      </c>
      <c r="I36" s="87">
        <v>10.3</v>
      </c>
      <c r="J36" s="87">
        <v>13</v>
      </c>
      <c r="K36" s="87">
        <v>12</v>
      </c>
      <c r="L36" s="87"/>
      <c r="M36" s="87"/>
      <c r="U36"/>
      <c r="V36"/>
      <c r="W36" s="13"/>
      <c r="X36" s="11"/>
      <c r="Y36" s="11"/>
      <c r="Z36" s="11"/>
      <c r="AA36" s="11"/>
      <c r="AB36" s="11"/>
      <c r="AC36" s="11"/>
      <c r="AD36"/>
      <c r="AE36"/>
      <c r="AF36"/>
    </row>
    <row r="37" spans="2:52" ht="30.75" hidden="1" customHeight="1">
      <c r="D37" s="143" t="s">
        <v>57</v>
      </c>
      <c r="E37" s="87">
        <v>35</v>
      </c>
      <c r="F37" s="87">
        <v>59.1</v>
      </c>
      <c r="G37" s="87">
        <v>29.5</v>
      </c>
      <c r="H37" s="87">
        <v>36.299999999999997</v>
      </c>
      <c r="I37" s="87">
        <v>40.799999999999997</v>
      </c>
      <c r="J37" s="87">
        <v>36.4</v>
      </c>
      <c r="K37" s="87">
        <v>37.4</v>
      </c>
      <c r="L37" s="87"/>
      <c r="M37"/>
      <c r="U37"/>
      <c r="V37"/>
      <c r="W37" s="13"/>
      <c r="X37" s="11"/>
      <c r="Y37" s="11"/>
      <c r="Z37" s="11"/>
      <c r="AA37" s="11"/>
      <c r="AB37" s="11"/>
      <c r="AC37" s="11"/>
      <c r="AD37"/>
      <c r="AE37"/>
      <c r="AF37"/>
    </row>
    <row r="38" spans="2:52" ht="30.75" hidden="1" customHeight="1">
      <c r="D38" s="143" t="s">
        <v>58</v>
      </c>
      <c r="E38" s="87">
        <v>9.1999999999999993</v>
      </c>
      <c r="F38" s="87">
        <v>20.7</v>
      </c>
      <c r="G38" s="87">
        <v>8.3000000000000007</v>
      </c>
      <c r="H38" s="87">
        <v>13.2</v>
      </c>
      <c r="I38" s="87">
        <v>10.1</v>
      </c>
      <c r="J38" s="87">
        <v>12.7</v>
      </c>
      <c r="K38" s="87">
        <v>11.7</v>
      </c>
      <c r="L38" s="87"/>
      <c r="M38" s="87"/>
      <c r="U38"/>
      <c r="V38"/>
      <c r="W38" s="13"/>
      <c r="X38" s="11"/>
      <c r="Y38" s="11"/>
      <c r="Z38" s="11"/>
      <c r="AA38" s="11"/>
      <c r="AB38" s="11"/>
      <c r="AC38" s="11"/>
      <c r="AD38"/>
      <c r="AE38"/>
      <c r="AF38"/>
    </row>
    <row r="39" spans="2:52" ht="30.75" hidden="1" customHeight="1">
      <c r="D39" s="143" t="s">
        <v>59</v>
      </c>
      <c r="E39" s="87">
        <v>36.5</v>
      </c>
      <c r="F39" s="87">
        <v>57.8</v>
      </c>
      <c r="G39" s="87">
        <v>28.6</v>
      </c>
      <c r="H39" s="87">
        <v>37</v>
      </c>
      <c r="I39" s="87">
        <v>43.1</v>
      </c>
      <c r="J39" s="87">
        <v>35.700000000000003</v>
      </c>
      <c r="K39" s="87">
        <v>37.200000000000003</v>
      </c>
      <c r="L39" s="87"/>
      <c r="M39"/>
      <c r="U39"/>
      <c r="V39"/>
      <c r="W39" s="13"/>
      <c r="X39" s="11"/>
      <c r="Y39" s="11"/>
      <c r="Z39" s="11"/>
      <c r="AA39" s="11"/>
      <c r="AB39" s="11"/>
      <c r="AC39" s="11"/>
      <c r="AD39"/>
      <c r="AE39"/>
      <c r="AF39"/>
    </row>
    <row r="40" spans="2:52" hidden="1">
      <c r="D40" s="143" t="s">
        <v>60</v>
      </c>
      <c r="E40" s="87">
        <v>10</v>
      </c>
      <c r="F40" s="87">
        <v>17.3</v>
      </c>
      <c r="G40" s="87">
        <v>8.1</v>
      </c>
      <c r="H40" s="87">
        <v>14.1</v>
      </c>
      <c r="I40" s="87">
        <v>9.3000000000000007</v>
      </c>
      <c r="J40" s="87">
        <v>11.8</v>
      </c>
      <c r="K40" s="87">
        <v>11.4</v>
      </c>
      <c r="L40" s="87"/>
      <c r="U40"/>
      <c r="V40"/>
      <c r="W40" s="13"/>
      <c r="X40" s="11"/>
      <c r="Y40" s="11"/>
      <c r="Z40" s="11"/>
      <c r="AA40" s="11"/>
      <c r="AB40" s="11"/>
      <c r="AC40" s="11"/>
      <c r="AD40"/>
      <c r="AE40"/>
      <c r="AF40"/>
    </row>
    <row r="41" spans="2:52" ht="39" customHeight="1"/>
    <row r="46" spans="2:52" s="3" customFormat="1" ht="27" customHeight="1">
      <c r="B46" s="5"/>
      <c r="C46" s="5"/>
      <c r="D46" s="5"/>
      <c r="E46" s="5"/>
      <c r="F46" s="5"/>
      <c r="G46"/>
      <c r="H46"/>
      <c r="I46"/>
      <c r="J46"/>
      <c r="K46"/>
      <c r="M46" s="5"/>
      <c r="N46" s="5"/>
      <c r="O46" s="5"/>
      <c r="P46" s="5"/>
      <c r="Q46" s="5"/>
      <c r="R46" s="5"/>
      <c r="S46" s="5"/>
      <c r="T46" s="5"/>
      <c r="U46" s="5"/>
      <c r="V46" s="5"/>
      <c r="W46" s="5"/>
      <c r="X46" s="5"/>
      <c r="Y46"/>
      <c r="Z46"/>
      <c r="AB46" s="5"/>
      <c r="AC46" s="5"/>
      <c r="AD46" s="5"/>
      <c r="AE46" s="5"/>
      <c r="AF46" s="5"/>
      <c r="AG46"/>
      <c r="AH46"/>
      <c r="AI46"/>
      <c r="AJ46"/>
      <c r="AK46"/>
      <c r="AL46"/>
      <c r="AM46"/>
      <c r="AN46"/>
      <c r="AO46"/>
      <c r="AP46"/>
      <c r="AQ46"/>
      <c r="AR46"/>
      <c r="AS46"/>
      <c r="AT46"/>
      <c r="AU46"/>
      <c r="AV46"/>
      <c r="AW46"/>
      <c r="AX46"/>
      <c r="AY46"/>
      <c r="AZ46"/>
    </row>
    <row r="47" spans="2:52" s="3" customFormat="1" ht="27" customHeight="1">
      <c r="B47" s="5"/>
      <c r="C47" s="5"/>
      <c r="D47" s="5"/>
      <c r="E47" s="5"/>
      <c r="F47" s="5"/>
      <c r="G47"/>
      <c r="H47"/>
      <c r="I47"/>
      <c r="J47"/>
      <c r="K47"/>
      <c r="M47" s="5"/>
      <c r="N47" s="5"/>
      <c r="O47" s="5"/>
      <c r="P47" s="5"/>
      <c r="Q47" s="5"/>
      <c r="R47" s="5"/>
      <c r="S47" s="5"/>
      <c r="T47" s="5"/>
      <c r="U47" s="5"/>
      <c r="V47" s="5"/>
      <c r="W47" s="5"/>
      <c r="X47" s="5"/>
      <c r="Y47"/>
      <c r="Z47"/>
      <c r="AB47" s="5"/>
      <c r="AC47" s="5"/>
      <c r="AD47" s="5"/>
      <c r="AE47" s="5"/>
      <c r="AF47" s="5"/>
      <c r="AG47"/>
      <c r="AH47"/>
      <c r="AI47"/>
      <c r="AJ47"/>
      <c r="AK47"/>
      <c r="AL47"/>
      <c r="AM47"/>
      <c r="AN47"/>
      <c r="AO47"/>
      <c r="AP47"/>
      <c r="AQ47"/>
      <c r="AR47"/>
      <c r="AS47"/>
      <c r="AT47"/>
      <c r="AU47"/>
      <c r="AV47"/>
      <c r="AW47"/>
      <c r="AX47"/>
      <c r="AY47"/>
      <c r="AZ47"/>
    </row>
    <row r="48" spans="2:52" s="3" customFormat="1" ht="27" customHeight="1">
      <c r="B48" s="5"/>
      <c r="C48" s="5"/>
      <c r="D48" s="5"/>
      <c r="E48" s="5"/>
      <c r="F48" s="5"/>
      <c r="G48"/>
      <c r="H48"/>
      <c r="I48"/>
      <c r="J48"/>
      <c r="K48"/>
      <c r="M48" s="5"/>
      <c r="N48" s="5"/>
      <c r="O48" s="5"/>
      <c r="P48" s="5"/>
      <c r="Q48" s="5"/>
      <c r="R48" s="5"/>
      <c r="S48" s="5"/>
      <c r="T48" s="5"/>
      <c r="U48" s="5"/>
      <c r="V48" s="5"/>
      <c r="W48" s="5"/>
      <c r="X48" s="5"/>
      <c r="Y48"/>
      <c r="Z48"/>
      <c r="AB48" s="5"/>
      <c r="AC48" s="5"/>
      <c r="AD48" s="5"/>
      <c r="AE48" s="5"/>
      <c r="AF48" s="5"/>
      <c r="AG48"/>
      <c r="AH48"/>
      <c r="AI48"/>
      <c r="AJ48"/>
      <c r="AK48"/>
      <c r="AL48"/>
      <c r="AM48"/>
      <c r="AN48"/>
      <c r="AO48"/>
      <c r="AP48"/>
      <c r="AQ48"/>
      <c r="AR48"/>
      <c r="AS48"/>
      <c r="AT48"/>
      <c r="AU48"/>
      <c r="AV48"/>
      <c r="AW48"/>
      <c r="AX48"/>
      <c r="AY48"/>
      <c r="AZ48"/>
    </row>
    <row r="49" spans="2:52" s="3" customFormat="1" ht="7.5" customHeight="1">
      <c r="B49" s="5"/>
      <c r="C49" s="5"/>
      <c r="D49" s="5"/>
      <c r="E49" s="5"/>
      <c r="F49" s="5"/>
      <c r="G49"/>
      <c r="H49"/>
      <c r="I49"/>
      <c r="J49"/>
      <c r="K49"/>
      <c r="M49" s="5"/>
      <c r="N49" s="5"/>
      <c r="O49" s="5"/>
      <c r="P49" s="5"/>
      <c r="Q49" s="5"/>
      <c r="R49" s="5"/>
      <c r="S49" s="5"/>
      <c r="T49" s="5"/>
      <c r="U49" s="5"/>
      <c r="V49" s="5"/>
      <c r="W49" s="5"/>
      <c r="X49" s="5"/>
      <c r="Y49"/>
      <c r="Z49"/>
      <c r="AB49" s="5"/>
      <c r="AC49" s="5"/>
      <c r="AD49" s="5"/>
      <c r="AE49" s="5"/>
      <c r="AF49" s="5"/>
      <c r="AG49"/>
      <c r="AH49"/>
      <c r="AI49"/>
      <c r="AJ49"/>
      <c r="AK49"/>
      <c r="AL49"/>
      <c r="AM49"/>
      <c r="AN49"/>
      <c r="AO49"/>
      <c r="AP49"/>
      <c r="AQ49"/>
      <c r="AR49"/>
      <c r="AS49"/>
      <c r="AT49"/>
      <c r="AU49"/>
      <c r="AV49"/>
      <c r="AW49"/>
      <c r="AX49"/>
      <c r="AY49"/>
      <c r="AZ49"/>
    </row>
    <row r="50" spans="2:52" s="3" customFormat="1" ht="7.5" customHeight="1">
      <c r="B50" s="5"/>
      <c r="C50" s="5"/>
      <c r="D50" s="5"/>
      <c r="E50" s="5"/>
      <c r="F50" s="5"/>
      <c r="G50"/>
      <c r="H50"/>
      <c r="I50"/>
      <c r="J50"/>
      <c r="K50"/>
      <c r="M50" s="5"/>
      <c r="N50" s="5"/>
      <c r="O50" s="5"/>
      <c r="P50" s="5"/>
      <c r="Q50" s="5"/>
      <c r="R50" s="5"/>
      <c r="S50" s="5"/>
      <c r="T50" s="5"/>
      <c r="U50" s="5"/>
      <c r="V50" s="5"/>
      <c r="W50" s="5"/>
      <c r="X50" s="5"/>
      <c r="Y50"/>
      <c r="Z50"/>
      <c r="AB50" s="5"/>
      <c r="AC50" s="5"/>
      <c r="AD50" s="5"/>
      <c r="AE50" s="5"/>
      <c r="AF50" s="5"/>
      <c r="AG50"/>
      <c r="AH50"/>
      <c r="AI50"/>
      <c r="AJ50"/>
      <c r="AK50"/>
      <c r="AL50"/>
      <c r="AM50"/>
      <c r="AN50"/>
      <c r="AO50"/>
      <c r="AP50"/>
      <c r="AQ50"/>
      <c r="AR50"/>
      <c r="AS50"/>
      <c r="AT50"/>
      <c r="AU50"/>
      <c r="AV50"/>
      <c r="AW50"/>
      <c r="AX50"/>
      <c r="AY50"/>
      <c r="AZ50"/>
    </row>
    <row r="51" spans="2:52" s="3" customFormat="1" ht="27" customHeight="1">
      <c r="B51" s="5"/>
      <c r="C51" s="5"/>
      <c r="D51" s="5"/>
      <c r="E51" s="5"/>
      <c r="F51" s="5"/>
      <c r="G51"/>
      <c r="H51"/>
      <c r="I51"/>
      <c r="J51"/>
      <c r="K51"/>
      <c r="M51" s="5"/>
      <c r="N51" s="5"/>
      <c r="O51" s="5"/>
      <c r="P51" s="5"/>
      <c r="Q51" s="5"/>
      <c r="R51" s="5"/>
      <c r="S51" s="5"/>
      <c r="T51" s="5"/>
      <c r="U51" s="5"/>
      <c r="V51" s="5"/>
      <c r="W51" s="5"/>
      <c r="X51" s="5"/>
      <c r="Y51"/>
      <c r="Z51"/>
      <c r="AB51" s="5"/>
      <c r="AC51" s="5"/>
      <c r="AD51" s="5"/>
      <c r="AE51" s="5"/>
      <c r="AF51" s="5"/>
      <c r="AG51"/>
      <c r="AH51"/>
      <c r="AI51"/>
      <c r="AJ51"/>
      <c r="AK51"/>
      <c r="AL51"/>
      <c r="AM51"/>
      <c r="AN51"/>
      <c r="AO51"/>
      <c r="AP51"/>
      <c r="AQ51"/>
      <c r="AR51"/>
      <c r="AS51"/>
      <c r="AT51"/>
      <c r="AU51"/>
      <c r="AV51"/>
      <c r="AW51"/>
      <c r="AX51"/>
      <c r="AY51"/>
      <c r="AZ51"/>
    </row>
  </sheetData>
  <mergeCells count="5">
    <mergeCell ref="E29:K29"/>
    <mergeCell ref="M29:S29"/>
    <mergeCell ref="U29:AA29"/>
    <mergeCell ref="AC29:AI29"/>
    <mergeCell ref="AK29:AQ29"/>
  </mergeCells>
  <pageMargins left="0.5" right="0.5" top="0.34" bottom="0.5" header="0.3" footer="0.3"/>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3"/>
  <sheetViews>
    <sheetView showGridLines="0" zoomScale="90" zoomScaleNormal="165" zoomScaleSheetLayoutView="90" workbookViewId="0">
      <selection activeCell="N16" sqref="N16"/>
    </sheetView>
  </sheetViews>
  <sheetFormatPr defaultColWidth="11.42578125" defaultRowHeight="12.75" customHeight="1"/>
  <cols>
    <col min="1" max="1" width="11.5703125" style="3" customWidth="1"/>
    <col min="2" max="6" width="12.42578125" style="5" customWidth="1"/>
    <col min="7" max="7" width="8.42578125" bestFit="1" customWidth="1"/>
    <col min="8" max="8" width="10.140625" bestFit="1" customWidth="1"/>
    <col min="9" max="9" width="9.140625" bestFit="1" customWidth="1"/>
    <col min="12" max="12" width="11.5703125" style="3" customWidth="1"/>
    <col min="13" max="24" width="12.42578125" style="5" customWidth="1"/>
    <col min="27" max="27" width="11.5703125" style="3" customWidth="1"/>
    <col min="28" max="32" width="12.42578125" style="5" customWidth="1"/>
  </cols>
  <sheetData>
    <row r="1" spans="2:43" s="145" customFormat="1" ht="34.5" customHeight="1">
      <c r="E1" s="311">
        <v>2008</v>
      </c>
      <c r="F1" s="311"/>
      <c r="G1" s="311"/>
      <c r="H1" s="311"/>
      <c r="I1" s="311"/>
      <c r="J1" s="311"/>
      <c r="K1" s="311"/>
      <c r="M1" s="311">
        <v>2009</v>
      </c>
      <c r="N1" s="311"/>
      <c r="O1" s="311"/>
      <c r="P1" s="311"/>
      <c r="Q1" s="311"/>
      <c r="R1" s="311"/>
      <c r="S1" s="311"/>
      <c r="U1" s="311">
        <v>2010</v>
      </c>
      <c r="V1" s="311"/>
      <c r="W1" s="311"/>
      <c r="X1" s="311"/>
      <c r="Y1" s="311"/>
      <c r="Z1" s="311"/>
      <c r="AA1" s="311"/>
      <c r="AC1" s="311">
        <v>2011</v>
      </c>
      <c r="AD1" s="311"/>
      <c r="AE1" s="311"/>
      <c r="AF1" s="311"/>
      <c r="AG1" s="311"/>
      <c r="AH1" s="311"/>
      <c r="AI1" s="311"/>
      <c r="AK1" s="311">
        <v>2012</v>
      </c>
      <c r="AL1" s="311"/>
      <c r="AM1" s="311"/>
      <c r="AN1" s="311"/>
      <c r="AO1" s="311"/>
      <c r="AP1" s="311"/>
      <c r="AQ1" s="311"/>
    </row>
    <row r="2" spans="2:43" s="146" customFormat="1" ht="30.75" customHeight="1">
      <c r="B2" s="147"/>
      <c r="C2" s="147"/>
      <c r="D2" s="148"/>
      <c r="E2" s="148" t="s">
        <v>61</v>
      </c>
      <c r="F2" s="148" t="s">
        <v>10</v>
      </c>
      <c r="G2" s="148" t="s">
        <v>11</v>
      </c>
      <c r="H2" s="148" t="s">
        <v>12</v>
      </c>
      <c r="I2" s="148" t="s">
        <v>21</v>
      </c>
      <c r="J2" s="148" t="s">
        <v>13</v>
      </c>
      <c r="K2" s="148" t="s">
        <v>62</v>
      </c>
      <c r="L2" s="148"/>
      <c r="M2" s="148" t="s">
        <v>61</v>
      </c>
      <c r="N2" s="148" t="s">
        <v>10</v>
      </c>
      <c r="O2" s="148" t="s">
        <v>11</v>
      </c>
      <c r="P2" s="148" t="s">
        <v>12</v>
      </c>
      <c r="Q2" s="148" t="s">
        <v>21</v>
      </c>
      <c r="R2" s="148" t="s">
        <v>13</v>
      </c>
      <c r="S2" s="148" t="s">
        <v>62</v>
      </c>
      <c r="T2" s="148"/>
      <c r="U2" s="148" t="s">
        <v>61</v>
      </c>
      <c r="V2" s="148" t="s">
        <v>10</v>
      </c>
      <c r="W2" s="148" t="s">
        <v>11</v>
      </c>
      <c r="X2" s="148" t="s">
        <v>12</v>
      </c>
      <c r="Y2" s="148" t="s">
        <v>21</v>
      </c>
      <c r="Z2" s="148" t="s">
        <v>13</v>
      </c>
      <c r="AA2" s="148" t="s">
        <v>62</v>
      </c>
      <c r="AB2" s="148"/>
      <c r="AC2" s="148" t="s">
        <v>61</v>
      </c>
      <c r="AD2" s="148" t="s">
        <v>10</v>
      </c>
      <c r="AE2" s="148" t="s">
        <v>11</v>
      </c>
      <c r="AF2" s="148" t="s">
        <v>12</v>
      </c>
      <c r="AG2" s="148" t="s">
        <v>21</v>
      </c>
      <c r="AH2" s="148" t="s">
        <v>13</v>
      </c>
      <c r="AI2" s="148" t="s">
        <v>62</v>
      </c>
      <c r="AJ2" s="148"/>
      <c r="AK2" s="148" t="s">
        <v>61</v>
      </c>
      <c r="AL2" s="148" t="s">
        <v>10</v>
      </c>
      <c r="AM2" s="148" t="s">
        <v>11</v>
      </c>
      <c r="AN2" s="148" t="s">
        <v>12</v>
      </c>
      <c r="AO2" s="148" t="s">
        <v>21</v>
      </c>
      <c r="AP2" s="148" t="s">
        <v>13</v>
      </c>
      <c r="AQ2" s="148" t="s">
        <v>62</v>
      </c>
    </row>
    <row r="3" spans="2:43" ht="30.75" customHeight="1">
      <c r="C3"/>
      <c r="D3" s="144" t="s">
        <v>63</v>
      </c>
      <c r="E3" s="87">
        <v>31.8</v>
      </c>
      <c r="F3" s="87">
        <v>68.900000000000006</v>
      </c>
      <c r="G3" s="87">
        <v>27.4</v>
      </c>
      <c r="H3" s="87">
        <v>30.8</v>
      </c>
      <c r="I3" s="87">
        <v>33.799999999999997</v>
      </c>
      <c r="J3" s="87">
        <v>35.700000000000003</v>
      </c>
      <c r="K3" s="87">
        <v>35.1</v>
      </c>
      <c r="L3" s="143"/>
      <c r="M3" s="87">
        <v>32.9</v>
      </c>
      <c r="N3" s="87">
        <v>63.7</v>
      </c>
      <c r="O3" s="87">
        <v>31</v>
      </c>
      <c r="P3" s="87">
        <v>33.299999999999997</v>
      </c>
      <c r="Q3" s="87">
        <v>32.799999999999997</v>
      </c>
      <c r="R3" s="87">
        <v>36.9</v>
      </c>
      <c r="S3" s="87">
        <v>36.299999999999997</v>
      </c>
      <c r="T3" s="143"/>
      <c r="U3" s="87">
        <v>35.6</v>
      </c>
      <c r="V3" s="87">
        <v>56.2</v>
      </c>
      <c r="W3" s="87">
        <v>30.7</v>
      </c>
      <c r="X3" s="87">
        <v>34.9</v>
      </c>
      <c r="Y3" s="87">
        <v>35.299999999999997</v>
      </c>
      <c r="Z3" s="87">
        <v>36</v>
      </c>
      <c r="AA3" s="87">
        <v>36.4</v>
      </c>
      <c r="AB3" s="143"/>
      <c r="AC3" s="87">
        <v>35</v>
      </c>
      <c r="AD3" s="87">
        <v>59.1</v>
      </c>
      <c r="AE3" s="87">
        <v>29.5</v>
      </c>
      <c r="AF3" s="87">
        <v>36.299999999999997</v>
      </c>
      <c r="AG3" s="87">
        <v>40.799999999999997</v>
      </c>
      <c r="AH3" s="87">
        <v>36.4</v>
      </c>
      <c r="AI3" s="87">
        <v>37.4</v>
      </c>
      <c r="AJ3" s="143"/>
      <c r="AK3" s="87">
        <v>36.5</v>
      </c>
      <c r="AL3" s="87">
        <v>57.8</v>
      </c>
      <c r="AM3" s="87">
        <v>28.6</v>
      </c>
      <c r="AN3" s="87">
        <v>37</v>
      </c>
      <c r="AO3" s="87">
        <v>43.1</v>
      </c>
      <c r="AP3" s="87">
        <v>35.700000000000003</v>
      </c>
      <c r="AQ3" s="87">
        <v>37.200000000000003</v>
      </c>
    </row>
    <row r="4" spans="2:43" ht="30.75" customHeight="1">
      <c r="C4"/>
      <c r="D4" s="144" t="s">
        <v>64</v>
      </c>
      <c r="E4" s="87">
        <v>8.4</v>
      </c>
      <c r="F4" s="87">
        <v>23.3</v>
      </c>
      <c r="G4" s="87">
        <v>8.1</v>
      </c>
      <c r="H4" s="87">
        <v>11.8</v>
      </c>
      <c r="I4" s="87">
        <v>9.4</v>
      </c>
      <c r="J4" s="87">
        <v>12.1</v>
      </c>
      <c r="K4" s="87">
        <v>11.1</v>
      </c>
      <c r="L4" s="143"/>
      <c r="M4" s="87">
        <v>9.3000000000000007</v>
      </c>
      <c r="N4" s="87">
        <v>22.8</v>
      </c>
      <c r="O4" s="87">
        <v>8.6999999999999993</v>
      </c>
      <c r="P4" s="87">
        <v>12.9</v>
      </c>
      <c r="Q4" s="87">
        <v>10.3</v>
      </c>
      <c r="R4" s="87">
        <v>12.8</v>
      </c>
      <c r="S4" s="87">
        <v>12</v>
      </c>
      <c r="T4" s="143"/>
      <c r="U4" s="87">
        <v>9.3000000000000007</v>
      </c>
      <c r="V4" s="87">
        <v>21.7</v>
      </c>
      <c r="W4" s="87">
        <v>9.1</v>
      </c>
      <c r="X4" s="87">
        <v>13.2</v>
      </c>
      <c r="Y4" s="87">
        <v>10.3</v>
      </c>
      <c r="Z4" s="87">
        <v>13</v>
      </c>
      <c r="AA4" s="87">
        <v>12</v>
      </c>
      <c r="AB4" s="143"/>
      <c r="AC4" s="87">
        <v>9.1999999999999993</v>
      </c>
      <c r="AD4" s="87">
        <v>20.7</v>
      </c>
      <c r="AE4" s="87">
        <v>8.3000000000000007</v>
      </c>
      <c r="AF4" s="87">
        <v>13.2</v>
      </c>
      <c r="AG4" s="87">
        <v>10.1</v>
      </c>
      <c r="AH4" s="87">
        <v>12.7</v>
      </c>
      <c r="AI4" s="87">
        <v>11.7</v>
      </c>
      <c r="AJ4" s="143"/>
      <c r="AK4" s="87">
        <v>10</v>
      </c>
      <c r="AL4" s="87">
        <v>17.3</v>
      </c>
      <c r="AM4" s="87">
        <v>8.1</v>
      </c>
      <c r="AN4" s="87">
        <v>14.1</v>
      </c>
      <c r="AO4" s="87">
        <v>9.3000000000000007</v>
      </c>
      <c r="AP4" s="87">
        <v>11.8</v>
      </c>
      <c r="AQ4" s="87">
        <v>11.4</v>
      </c>
    </row>
    <row r="5" spans="2:43" ht="30.75" hidden="1" customHeight="1">
      <c r="D5" s="143" t="s">
        <v>53</v>
      </c>
      <c r="E5" s="87">
        <v>32.9</v>
      </c>
      <c r="F5" s="87">
        <v>63.7</v>
      </c>
      <c r="G5" s="87">
        <v>31</v>
      </c>
      <c r="H5" s="87">
        <v>33.299999999999997</v>
      </c>
      <c r="I5" s="87">
        <v>32.799999999999997</v>
      </c>
      <c r="J5" s="87">
        <v>36.9</v>
      </c>
      <c r="K5" s="87">
        <v>36.299999999999997</v>
      </c>
      <c r="L5" s="87"/>
      <c r="M5"/>
      <c r="U5"/>
      <c r="V5"/>
      <c r="W5" s="13"/>
      <c r="X5" s="11"/>
      <c r="Y5" s="11"/>
      <c r="Z5" s="11"/>
      <c r="AA5" s="11"/>
      <c r="AB5" s="11"/>
      <c r="AC5" s="11"/>
      <c r="AD5"/>
      <c r="AE5"/>
      <c r="AF5"/>
    </row>
    <row r="6" spans="2:43" ht="30.75" hidden="1" customHeight="1">
      <c r="D6" s="143" t="s">
        <v>54</v>
      </c>
      <c r="E6" s="87">
        <v>9.3000000000000007</v>
      </c>
      <c r="F6" s="87">
        <v>22.8</v>
      </c>
      <c r="G6" s="87">
        <v>8.6999999999999993</v>
      </c>
      <c r="H6" s="87">
        <v>12.9</v>
      </c>
      <c r="I6" s="87">
        <v>10.3</v>
      </c>
      <c r="J6" s="87">
        <v>12.8</v>
      </c>
      <c r="K6" s="87">
        <v>12</v>
      </c>
      <c r="L6" s="87"/>
      <c r="M6" s="87"/>
      <c r="U6"/>
      <c r="V6"/>
      <c r="W6" s="13"/>
      <c r="X6" s="11"/>
      <c r="Y6" s="11"/>
      <c r="Z6" s="11"/>
      <c r="AA6" s="11"/>
      <c r="AB6" s="11"/>
      <c r="AC6" s="11"/>
      <c r="AD6"/>
      <c r="AE6"/>
      <c r="AF6"/>
    </row>
    <row r="7" spans="2:43" ht="30.75" hidden="1" customHeight="1">
      <c r="D7" s="143" t="s">
        <v>55</v>
      </c>
      <c r="E7" s="87">
        <v>35.6</v>
      </c>
      <c r="F7" s="87">
        <v>56.2</v>
      </c>
      <c r="G7" s="87">
        <v>30.7</v>
      </c>
      <c r="H7" s="87">
        <v>34.9</v>
      </c>
      <c r="I7" s="87">
        <v>35.299999999999997</v>
      </c>
      <c r="J7" s="87">
        <v>36</v>
      </c>
      <c r="K7" s="87">
        <v>36.4</v>
      </c>
      <c r="L7" s="87"/>
      <c r="M7"/>
      <c r="U7"/>
      <c r="V7"/>
      <c r="W7" s="13"/>
      <c r="X7" s="11"/>
      <c r="Y7" s="11"/>
      <c r="Z7" s="11"/>
      <c r="AA7" s="11"/>
      <c r="AB7" s="11"/>
      <c r="AC7" s="11"/>
      <c r="AD7"/>
      <c r="AE7"/>
      <c r="AF7"/>
    </row>
    <row r="8" spans="2:43" ht="30.75" hidden="1" customHeight="1">
      <c r="D8" s="143" t="s">
        <v>56</v>
      </c>
      <c r="E8" s="87">
        <v>9.3000000000000007</v>
      </c>
      <c r="F8" s="87">
        <v>21.7</v>
      </c>
      <c r="G8" s="87">
        <v>9.1</v>
      </c>
      <c r="H8" s="87">
        <v>13.2</v>
      </c>
      <c r="I8" s="87">
        <v>10.3</v>
      </c>
      <c r="J8" s="87">
        <v>13</v>
      </c>
      <c r="K8" s="87">
        <v>12</v>
      </c>
      <c r="L8" s="87"/>
      <c r="M8" s="87"/>
      <c r="U8"/>
      <c r="V8"/>
      <c r="W8" s="13"/>
      <c r="X8" s="11"/>
      <c r="Y8" s="11"/>
      <c r="Z8" s="11"/>
      <c r="AA8" s="11"/>
      <c r="AB8" s="11"/>
      <c r="AC8" s="11"/>
      <c r="AD8"/>
      <c r="AE8"/>
      <c r="AF8"/>
    </row>
    <row r="9" spans="2:43" ht="30.75" hidden="1" customHeight="1">
      <c r="D9" s="143" t="s">
        <v>57</v>
      </c>
      <c r="E9" s="87">
        <v>35</v>
      </c>
      <c r="F9" s="87">
        <v>59.1</v>
      </c>
      <c r="G9" s="87">
        <v>29.5</v>
      </c>
      <c r="H9" s="87">
        <v>36.299999999999997</v>
      </c>
      <c r="I9" s="87">
        <v>40.799999999999997</v>
      </c>
      <c r="J9" s="87">
        <v>36.4</v>
      </c>
      <c r="K9" s="87">
        <v>37.4</v>
      </c>
      <c r="L9" s="87"/>
      <c r="M9"/>
      <c r="U9"/>
      <c r="V9"/>
      <c r="W9" s="13"/>
      <c r="X9" s="11"/>
      <c r="Y9" s="11"/>
      <c r="Z9" s="11"/>
      <c r="AA9" s="11"/>
      <c r="AB9" s="11"/>
      <c r="AC9" s="11"/>
      <c r="AD9"/>
      <c r="AE9"/>
      <c r="AF9"/>
    </row>
    <row r="10" spans="2:43" ht="30.75" hidden="1" customHeight="1">
      <c r="D10" s="143" t="s">
        <v>58</v>
      </c>
      <c r="E10" s="87">
        <v>9.1999999999999993</v>
      </c>
      <c r="F10" s="87">
        <v>20.7</v>
      </c>
      <c r="G10" s="87">
        <v>8.3000000000000007</v>
      </c>
      <c r="H10" s="87">
        <v>13.2</v>
      </c>
      <c r="I10" s="87">
        <v>10.1</v>
      </c>
      <c r="J10" s="87">
        <v>12.7</v>
      </c>
      <c r="K10" s="87">
        <v>11.7</v>
      </c>
      <c r="L10" s="87"/>
      <c r="M10" s="87"/>
      <c r="U10"/>
      <c r="V10"/>
      <c r="W10" s="13"/>
      <c r="X10" s="11"/>
      <c r="Y10" s="11"/>
      <c r="Z10" s="11"/>
      <c r="AA10" s="11"/>
      <c r="AB10" s="11"/>
      <c r="AC10" s="11"/>
      <c r="AD10"/>
      <c r="AE10"/>
      <c r="AF10"/>
    </row>
    <row r="11" spans="2:43" ht="30.75" hidden="1" customHeight="1">
      <c r="D11" s="143" t="s">
        <v>59</v>
      </c>
      <c r="E11" s="87">
        <v>36.5</v>
      </c>
      <c r="F11" s="87">
        <v>57.8</v>
      </c>
      <c r="G11" s="87">
        <v>28.6</v>
      </c>
      <c r="H11" s="87">
        <v>37</v>
      </c>
      <c r="I11" s="87">
        <v>43.1</v>
      </c>
      <c r="J11" s="87">
        <v>35.700000000000003</v>
      </c>
      <c r="K11" s="87">
        <v>37.200000000000003</v>
      </c>
      <c r="L11" s="87"/>
      <c r="M11"/>
      <c r="U11"/>
      <c r="V11"/>
      <c r="W11" s="13"/>
      <c r="X11" s="11"/>
      <c r="Y11" s="11"/>
      <c r="Z11" s="11"/>
      <c r="AA11" s="11"/>
      <c r="AB11" s="11"/>
      <c r="AC11" s="11"/>
      <c r="AD11"/>
      <c r="AE11"/>
      <c r="AF11"/>
    </row>
    <row r="12" spans="2:43" hidden="1">
      <c r="D12" s="143" t="s">
        <v>60</v>
      </c>
      <c r="E12" s="87">
        <v>10</v>
      </c>
      <c r="F12" s="87">
        <v>17.3</v>
      </c>
      <c r="G12" s="87">
        <v>8.1</v>
      </c>
      <c r="H12" s="87">
        <v>14.1</v>
      </c>
      <c r="I12" s="87">
        <v>9.3000000000000007</v>
      </c>
      <c r="J12" s="87">
        <v>11.8</v>
      </c>
      <c r="K12" s="87">
        <v>11.4</v>
      </c>
      <c r="L12" s="87"/>
      <c r="U12"/>
      <c r="V12"/>
      <c r="W12" s="13"/>
      <c r="X12" s="11"/>
      <c r="Y12" s="11"/>
      <c r="Z12" s="11"/>
      <c r="AA12" s="11"/>
      <c r="AB12" s="11"/>
      <c r="AC12" s="11"/>
      <c r="AD12"/>
      <c r="AE12"/>
      <c r="AF12"/>
    </row>
    <row r="13" spans="2:43" ht="39" customHeight="1"/>
    <row r="18" spans="2:52" s="3" customFormat="1" ht="27" customHeight="1">
      <c r="B18" s="5"/>
      <c r="C18" s="5"/>
      <c r="D18" s="5"/>
      <c r="E18" s="5"/>
      <c r="F18" s="5"/>
      <c r="G18"/>
      <c r="H18"/>
      <c r="I18"/>
      <c r="J18"/>
      <c r="K18"/>
      <c r="M18" s="5"/>
      <c r="N18" s="5"/>
      <c r="O18" s="5"/>
      <c r="P18" s="5"/>
      <c r="Q18" s="5"/>
      <c r="R18" s="5"/>
      <c r="S18" s="5"/>
      <c r="T18" s="5"/>
      <c r="U18" s="5"/>
      <c r="V18" s="5"/>
      <c r="W18" s="5"/>
      <c r="X18" s="5"/>
      <c r="Y18"/>
      <c r="Z18"/>
      <c r="AB18" s="5"/>
      <c r="AC18" s="5"/>
      <c r="AD18" s="5"/>
      <c r="AE18" s="5"/>
      <c r="AF18" s="5"/>
      <c r="AG18"/>
      <c r="AH18"/>
      <c r="AI18"/>
      <c r="AJ18"/>
      <c r="AK18"/>
      <c r="AL18"/>
      <c r="AM18"/>
      <c r="AN18"/>
      <c r="AO18"/>
      <c r="AP18"/>
      <c r="AQ18"/>
      <c r="AR18"/>
      <c r="AS18"/>
      <c r="AT18"/>
      <c r="AU18"/>
      <c r="AV18"/>
      <c r="AW18"/>
      <c r="AX18"/>
      <c r="AY18"/>
      <c r="AZ18"/>
    </row>
    <row r="19" spans="2:52" s="3" customFormat="1" ht="27" customHeight="1">
      <c r="B19" s="5"/>
      <c r="C19" s="5"/>
      <c r="D19" s="5"/>
      <c r="E19" s="5"/>
      <c r="F19" s="5"/>
      <c r="G19"/>
      <c r="H19"/>
      <c r="I19"/>
      <c r="J19"/>
      <c r="K19"/>
      <c r="M19" s="5"/>
      <c r="N19" s="5"/>
      <c r="O19" s="5"/>
      <c r="P19" s="5"/>
      <c r="Q19" s="5"/>
      <c r="R19" s="5"/>
      <c r="S19" s="5"/>
      <c r="T19" s="5"/>
      <c r="U19" s="5"/>
      <c r="V19" s="5"/>
      <c r="W19" s="5"/>
      <c r="X19" s="5"/>
      <c r="Y19"/>
      <c r="Z19"/>
      <c r="AB19" s="5"/>
      <c r="AC19" s="5"/>
      <c r="AD19" s="5"/>
      <c r="AE19" s="5"/>
      <c r="AF19" s="5"/>
      <c r="AG19"/>
      <c r="AH19"/>
      <c r="AI19"/>
      <c r="AJ19"/>
      <c r="AK19"/>
      <c r="AL19"/>
      <c r="AM19"/>
      <c r="AN19"/>
      <c r="AO19"/>
      <c r="AP19"/>
      <c r="AQ19"/>
      <c r="AR19"/>
      <c r="AS19"/>
      <c r="AT19"/>
      <c r="AU19"/>
      <c r="AV19"/>
      <c r="AW19"/>
      <c r="AX19"/>
      <c r="AY19"/>
      <c r="AZ19"/>
    </row>
    <row r="20" spans="2:52" s="3" customFormat="1" ht="27" customHeight="1">
      <c r="B20" s="5"/>
      <c r="C20" s="5"/>
      <c r="D20" s="5"/>
      <c r="E20" s="5"/>
      <c r="F20" s="5"/>
      <c r="G20"/>
      <c r="H20"/>
      <c r="I20"/>
      <c r="J20"/>
      <c r="K20"/>
      <c r="M20" s="5"/>
      <c r="N20" s="5"/>
      <c r="O20" s="5"/>
      <c r="P20" s="5"/>
      <c r="Q20" s="5"/>
      <c r="R20" s="5"/>
      <c r="S20" s="5"/>
      <c r="T20" s="5"/>
      <c r="U20" s="5"/>
      <c r="V20" s="5"/>
      <c r="W20" s="5"/>
      <c r="X20" s="5"/>
      <c r="Y20"/>
      <c r="Z20"/>
      <c r="AB20" s="5"/>
      <c r="AC20" s="5"/>
      <c r="AD20" s="5"/>
      <c r="AE20" s="5"/>
      <c r="AF20" s="5"/>
      <c r="AG20"/>
      <c r="AH20"/>
      <c r="AI20"/>
      <c r="AJ20"/>
      <c r="AK20"/>
      <c r="AL20"/>
      <c r="AM20"/>
      <c r="AN20"/>
      <c r="AO20"/>
      <c r="AP20"/>
      <c r="AQ20"/>
      <c r="AR20"/>
      <c r="AS20"/>
      <c r="AT20"/>
      <c r="AU20"/>
      <c r="AV20"/>
      <c r="AW20"/>
      <c r="AX20"/>
      <c r="AY20"/>
      <c r="AZ20"/>
    </row>
    <row r="21" spans="2:52" s="3" customFormat="1" ht="7.5" customHeight="1">
      <c r="B21" s="5"/>
      <c r="C21" s="5"/>
      <c r="D21" s="5"/>
      <c r="E21" s="5"/>
      <c r="F21" s="5"/>
      <c r="G21"/>
      <c r="H21"/>
      <c r="I21"/>
      <c r="J21"/>
      <c r="K21"/>
      <c r="M21" s="5"/>
      <c r="N21" s="5"/>
      <c r="O21" s="5"/>
      <c r="P21" s="5"/>
      <c r="Q21" s="5"/>
      <c r="R21" s="5"/>
      <c r="S21" s="5"/>
      <c r="T21" s="5"/>
      <c r="U21" s="5"/>
      <c r="V21" s="5"/>
      <c r="W21" s="5"/>
      <c r="X21" s="5"/>
      <c r="Y21"/>
      <c r="Z21"/>
      <c r="AB21" s="5"/>
      <c r="AC21" s="5"/>
      <c r="AD21" s="5"/>
      <c r="AE21" s="5"/>
      <c r="AF21" s="5"/>
      <c r="AG21"/>
      <c r="AH21"/>
      <c r="AI21"/>
      <c r="AJ21"/>
      <c r="AK21"/>
      <c r="AL21"/>
      <c r="AM21"/>
      <c r="AN21"/>
      <c r="AO21"/>
      <c r="AP21"/>
      <c r="AQ21"/>
      <c r="AR21"/>
      <c r="AS21"/>
      <c r="AT21"/>
      <c r="AU21"/>
      <c r="AV21"/>
      <c r="AW21"/>
      <c r="AX21"/>
      <c r="AY21"/>
      <c r="AZ21"/>
    </row>
    <row r="22" spans="2:52" s="3" customFormat="1" ht="7.5" customHeight="1">
      <c r="B22" s="5"/>
      <c r="C22" s="5"/>
      <c r="D22" s="5"/>
      <c r="E22" s="5"/>
      <c r="F22" s="5"/>
      <c r="G22"/>
      <c r="H22"/>
      <c r="I22"/>
      <c r="J22"/>
      <c r="K22"/>
      <c r="M22" s="5"/>
      <c r="N22" s="5"/>
      <c r="O22" s="5"/>
      <c r="P22" s="5"/>
      <c r="Q22" s="5"/>
      <c r="R22" s="5"/>
      <c r="S22" s="5"/>
      <c r="T22" s="5"/>
      <c r="U22" s="5"/>
      <c r="V22" s="5"/>
      <c r="W22" s="5"/>
      <c r="X22" s="5"/>
      <c r="Y22"/>
      <c r="Z22"/>
      <c r="AB22" s="5"/>
      <c r="AC22" s="5"/>
      <c r="AD22" s="5"/>
      <c r="AE22" s="5"/>
      <c r="AF22" s="5"/>
      <c r="AG22"/>
      <c r="AH22"/>
      <c r="AI22"/>
      <c r="AJ22"/>
      <c r="AK22"/>
      <c r="AL22"/>
      <c r="AM22"/>
      <c r="AN22"/>
      <c r="AO22"/>
      <c r="AP22"/>
      <c r="AQ22"/>
      <c r="AR22"/>
      <c r="AS22"/>
      <c r="AT22"/>
      <c r="AU22"/>
      <c r="AV22"/>
      <c r="AW22"/>
      <c r="AX22"/>
      <c r="AY22"/>
      <c r="AZ22"/>
    </row>
    <row r="23" spans="2:52" s="3" customFormat="1" ht="27" customHeight="1">
      <c r="B23" s="5"/>
      <c r="C23" s="5"/>
      <c r="D23" s="5"/>
      <c r="E23" s="5"/>
      <c r="F23" s="5"/>
      <c r="G23"/>
      <c r="H23"/>
      <c r="I23"/>
      <c r="J23"/>
      <c r="K23"/>
      <c r="M23" s="5"/>
      <c r="N23" s="5"/>
      <c r="O23" s="5"/>
      <c r="P23" s="5"/>
      <c r="Q23" s="5"/>
      <c r="R23" s="5"/>
      <c r="S23" s="5"/>
      <c r="T23" s="5"/>
      <c r="U23" s="5"/>
      <c r="V23" s="5"/>
      <c r="W23" s="5"/>
      <c r="X23" s="5"/>
      <c r="Y23"/>
      <c r="Z23"/>
      <c r="AB23" s="5"/>
      <c r="AC23" s="5"/>
      <c r="AD23" s="5"/>
      <c r="AE23" s="5"/>
      <c r="AF23" s="5"/>
      <c r="AG23"/>
      <c r="AH23"/>
      <c r="AI23"/>
      <c r="AJ23"/>
      <c r="AK23"/>
      <c r="AL23"/>
      <c r="AM23"/>
      <c r="AN23"/>
      <c r="AO23"/>
      <c r="AP23"/>
      <c r="AQ23"/>
      <c r="AR23"/>
      <c r="AS23"/>
      <c r="AT23"/>
      <c r="AU23"/>
      <c r="AV23"/>
      <c r="AW23"/>
      <c r="AX23"/>
      <c r="AY23"/>
      <c r="AZ23"/>
    </row>
  </sheetData>
  <mergeCells count="5">
    <mergeCell ref="E1:K1"/>
    <mergeCell ref="M1:S1"/>
    <mergeCell ref="U1:AA1"/>
    <mergeCell ref="AC1:AI1"/>
    <mergeCell ref="AK1:AQ1"/>
  </mergeCells>
  <pageMargins left="0.5" right="0.5" top="0.34" bottom="0.5" header="0.3" footer="0.3"/>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F24"/>
  <sheetViews>
    <sheetView showGridLines="0" zoomScale="90" zoomScaleNormal="165" zoomScaleSheetLayoutView="90" workbookViewId="0">
      <selection activeCell="N16" sqref="N16"/>
    </sheetView>
  </sheetViews>
  <sheetFormatPr defaultColWidth="11.42578125" defaultRowHeight="12.75" customHeight="1"/>
  <cols>
    <col min="1" max="1" width="11.5703125" style="5" bestFit="1" customWidth="1"/>
    <col min="2" max="6" width="5.5703125" style="5" bestFit="1" customWidth="1"/>
    <col min="7" max="8" width="5.5703125" style="5" customWidth="1"/>
    <col min="9" max="13" width="5.5703125" style="5" bestFit="1" customWidth="1"/>
    <col min="14" max="14" width="12.42578125" style="5" customWidth="1"/>
    <col min="15" max="16" width="5.5703125" style="5" bestFit="1" customWidth="1"/>
    <col min="17" max="19" width="5.5703125" style="151" bestFit="1" customWidth="1"/>
    <col min="20" max="20" width="8.42578125" style="151" customWidth="1"/>
    <col min="21" max="25" width="5.5703125" style="151" bestFit="1" customWidth="1"/>
    <col min="26" max="26" width="10.140625" style="151" customWidth="1"/>
    <col min="27" max="31" width="5.5703125" style="151" bestFit="1" customWidth="1"/>
    <col min="32" max="32" width="9.140625" style="151" customWidth="1"/>
    <col min="33" max="37" width="5.5703125" style="151" bestFit="1" customWidth="1"/>
    <col min="38" max="38" width="9.140625" style="151" customWidth="1"/>
    <col min="39" max="43" width="5.5703125" style="151" bestFit="1" customWidth="1"/>
    <col min="44" max="45" width="11.42578125" style="151"/>
    <col min="46" max="46" width="12.42578125" style="5" customWidth="1"/>
    <col min="47" max="47" width="11.5703125" style="151" customWidth="1"/>
    <col min="48" max="49" width="11.42578125" style="151"/>
  </cols>
  <sheetData>
    <row r="2" spans="1:49" s="146" customFormat="1">
      <c r="A2" s="148"/>
      <c r="B2" s="307" t="s">
        <v>61</v>
      </c>
      <c r="C2" s="307"/>
      <c r="D2" s="307"/>
      <c r="E2" s="307"/>
      <c r="F2" s="307"/>
      <c r="G2" s="150"/>
      <c r="H2" s="307" t="s">
        <v>10</v>
      </c>
      <c r="I2" s="307"/>
      <c r="J2" s="307"/>
      <c r="K2" s="307"/>
      <c r="L2" s="307"/>
      <c r="M2" s="150"/>
      <c r="N2" s="307" t="s">
        <v>11</v>
      </c>
      <c r="O2" s="307"/>
      <c r="P2" s="307"/>
      <c r="Q2" s="307"/>
      <c r="R2" s="307"/>
      <c r="S2" s="150"/>
      <c r="T2" s="307" t="s">
        <v>12</v>
      </c>
      <c r="U2" s="307"/>
      <c r="V2" s="307"/>
      <c r="W2" s="307"/>
      <c r="X2" s="307"/>
      <c r="Y2" s="150"/>
      <c r="Z2" s="307" t="s">
        <v>21</v>
      </c>
      <c r="AA2" s="307"/>
      <c r="AB2" s="307"/>
      <c r="AC2" s="307"/>
      <c r="AD2" s="307"/>
      <c r="AE2" s="150"/>
      <c r="AF2" s="307" t="s">
        <v>13</v>
      </c>
      <c r="AG2" s="307"/>
      <c r="AH2" s="307"/>
      <c r="AI2" s="307"/>
      <c r="AJ2" s="307"/>
      <c r="AK2" s="150"/>
      <c r="AL2" s="307" t="s">
        <v>65</v>
      </c>
      <c r="AM2" s="307"/>
      <c r="AN2" s="307"/>
      <c r="AO2" s="307"/>
      <c r="AP2" s="307"/>
      <c r="AQ2" s="150"/>
      <c r="AR2" s="150"/>
      <c r="AS2" s="150"/>
      <c r="AT2" s="150"/>
      <c r="AU2" s="150"/>
      <c r="AV2" s="150"/>
      <c r="AW2" s="150"/>
    </row>
    <row r="3" spans="1:49" s="145" customFormat="1">
      <c r="B3" s="149">
        <v>2008</v>
      </c>
      <c r="C3" s="149">
        <v>2009</v>
      </c>
      <c r="D3" s="149">
        <v>2010</v>
      </c>
      <c r="E3" s="149">
        <v>2011</v>
      </c>
      <c r="F3" s="149">
        <v>2012</v>
      </c>
      <c r="G3" s="149"/>
      <c r="H3" s="149">
        <v>2008</v>
      </c>
      <c r="I3" s="149">
        <v>2009</v>
      </c>
      <c r="J3" s="149">
        <v>2010</v>
      </c>
      <c r="K3" s="149">
        <v>2011</v>
      </c>
      <c r="L3" s="149">
        <v>2012</v>
      </c>
      <c r="M3" s="149"/>
      <c r="N3" s="149">
        <v>2008</v>
      </c>
      <c r="O3" s="149">
        <v>2009</v>
      </c>
      <c r="P3" s="149">
        <v>2010</v>
      </c>
      <c r="Q3" s="149">
        <v>2011</v>
      </c>
      <c r="R3" s="149">
        <v>2012</v>
      </c>
      <c r="S3" s="149"/>
      <c r="T3" s="149">
        <v>2008</v>
      </c>
      <c r="U3" s="149">
        <v>2009</v>
      </c>
      <c r="V3" s="149">
        <v>2010</v>
      </c>
      <c r="W3" s="149">
        <v>2011</v>
      </c>
      <c r="X3" s="149">
        <v>2012</v>
      </c>
      <c r="Y3" s="149"/>
      <c r="Z3" s="149">
        <v>2008</v>
      </c>
      <c r="AA3" s="149">
        <v>2009</v>
      </c>
      <c r="AB3" s="149">
        <v>2010</v>
      </c>
      <c r="AC3" s="149">
        <v>2011</v>
      </c>
      <c r="AD3" s="149">
        <v>2012</v>
      </c>
      <c r="AE3" s="149"/>
      <c r="AF3" s="149">
        <v>2008</v>
      </c>
      <c r="AG3" s="149">
        <v>2009</v>
      </c>
      <c r="AH3" s="149">
        <v>2010</v>
      </c>
      <c r="AI3" s="149">
        <v>2011</v>
      </c>
      <c r="AJ3" s="149">
        <v>2012</v>
      </c>
      <c r="AK3" s="149"/>
      <c r="AL3" s="149">
        <v>2008</v>
      </c>
      <c r="AM3" s="149">
        <v>2009</v>
      </c>
      <c r="AN3" s="149">
        <v>2010</v>
      </c>
      <c r="AO3" s="149">
        <v>2011</v>
      </c>
      <c r="AP3" s="149">
        <v>2012</v>
      </c>
      <c r="AQ3" s="149"/>
      <c r="AR3" s="149"/>
      <c r="AS3" s="149"/>
      <c r="AT3" s="149"/>
      <c r="AU3" s="149"/>
      <c r="AV3" s="149"/>
      <c r="AW3" s="149"/>
    </row>
    <row r="4" spans="1:49">
      <c r="A4" s="144" t="s">
        <v>63</v>
      </c>
      <c r="B4" s="91">
        <v>31.8</v>
      </c>
      <c r="C4" s="91">
        <v>32.9</v>
      </c>
      <c r="D4" s="91">
        <v>35.6</v>
      </c>
      <c r="E4" s="91">
        <v>35</v>
      </c>
      <c r="F4" s="91">
        <v>36.5</v>
      </c>
      <c r="G4" s="91"/>
      <c r="H4" s="91">
        <v>68.900000000000006</v>
      </c>
      <c r="I4" s="91">
        <v>63.7</v>
      </c>
      <c r="J4" s="91">
        <v>56.2</v>
      </c>
      <c r="K4" s="91">
        <v>59.1</v>
      </c>
      <c r="L4" s="91">
        <v>57.8</v>
      </c>
      <c r="M4" s="91"/>
      <c r="N4" s="91">
        <v>27.4</v>
      </c>
      <c r="O4" s="91">
        <v>31</v>
      </c>
      <c r="P4" s="91">
        <v>30.7</v>
      </c>
      <c r="Q4" s="91">
        <v>29.5</v>
      </c>
      <c r="R4" s="91">
        <v>28.6</v>
      </c>
      <c r="S4" s="91"/>
      <c r="T4" s="91">
        <v>30.8</v>
      </c>
      <c r="U4" s="91">
        <v>33.299999999999997</v>
      </c>
      <c r="V4" s="91">
        <v>34.9</v>
      </c>
      <c r="W4" s="91">
        <v>36.299999999999997</v>
      </c>
      <c r="X4" s="91">
        <v>37</v>
      </c>
      <c r="Y4" s="91"/>
      <c r="Z4" s="91">
        <v>33.799999999999997</v>
      </c>
      <c r="AA4" s="91">
        <v>32.799999999999997</v>
      </c>
      <c r="AB4" s="91">
        <v>35.299999999999997</v>
      </c>
      <c r="AC4" s="91">
        <v>40.799999999999997</v>
      </c>
      <c r="AD4" s="91">
        <v>43.1</v>
      </c>
      <c r="AE4" s="91"/>
      <c r="AF4" s="91">
        <v>35.700000000000003</v>
      </c>
      <c r="AG4" s="91">
        <v>36.9</v>
      </c>
      <c r="AH4" s="91">
        <v>36</v>
      </c>
      <c r="AI4" s="91">
        <v>36.4</v>
      </c>
      <c r="AJ4" s="91">
        <v>35.700000000000003</v>
      </c>
      <c r="AK4" s="91"/>
      <c r="AL4" s="91">
        <v>35.1</v>
      </c>
      <c r="AM4" s="91">
        <v>36.299999999999997</v>
      </c>
      <c r="AN4" s="91">
        <v>36.4</v>
      </c>
      <c r="AO4" s="91">
        <v>37.4</v>
      </c>
      <c r="AP4" s="91">
        <v>37.200000000000003</v>
      </c>
      <c r="AQ4" s="91"/>
      <c r="AR4" s="91"/>
      <c r="AS4" s="91"/>
      <c r="AT4" s="91"/>
      <c r="AU4" s="91"/>
      <c r="AV4" s="91"/>
      <c r="AW4" s="91"/>
    </row>
    <row r="5" spans="1:49">
      <c r="A5" s="144" t="s">
        <v>64</v>
      </c>
      <c r="B5" s="91">
        <v>8.4</v>
      </c>
      <c r="C5" s="91">
        <v>9.3000000000000007</v>
      </c>
      <c r="D5" s="91">
        <v>9.3000000000000007</v>
      </c>
      <c r="E5" s="91">
        <v>9.1999999999999993</v>
      </c>
      <c r="F5" s="91">
        <v>10</v>
      </c>
      <c r="G5" s="91"/>
      <c r="H5" s="91">
        <v>23.3</v>
      </c>
      <c r="I5" s="91">
        <v>22.8</v>
      </c>
      <c r="J5" s="91">
        <v>21.7</v>
      </c>
      <c r="K5" s="91">
        <v>20.7</v>
      </c>
      <c r="L5" s="91">
        <v>17.3</v>
      </c>
      <c r="M5" s="91"/>
      <c r="N5" s="91">
        <v>8.1</v>
      </c>
      <c r="O5" s="91">
        <v>8.6999999999999993</v>
      </c>
      <c r="P5" s="91">
        <v>9.1</v>
      </c>
      <c r="Q5" s="91">
        <v>8.3000000000000007</v>
      </c>
      <c r="R5" s="91">
        <v>8.1</v>
      </c>
      <c r="S5" s="91"/>
      <c r="T5" s="91">
        <v>11.8</v>
      </c>
      <c r="U5" s="91">
        <v>12.9</v>
      </c>
      <c r="V5" s="91">
        <v>13.2</v>
      </c>
      <c r="W5" s="91">
        <v>13.2</v>
      </c>
      <c r="X5" s="91">
        <v>14.1</v>
      </c>
      <c r="Y5" s="91"/>
      <c r="Z5" s="91">
        <v>9.4</v>
      </c>
      <c r="AA5" s="91">
        <v>10.3</v>
      </c>
      <c r="AB5" s="91">
        <v>10.3</v>
      </c>
      <c r="AC5" s="91">
        <v>10.1</v>
      </c>
      <c r="AD5" s="91">
        <v>9.3000000000000007</v>
      </c>
      <c r="AE5" s="91"/>
      <c r="AF5" s="91">
        <v>12.1</v>
      </c>
      <c r="AG5" s="91">
        <v>12.8</v>
      </c>
      <c r="AH5" s="91">
        <v>13</v>
      </c>
      <c r="AI5" s="91">
        <v>12.7</v>
      </c>
      <c r="AJ5" s="91">
        <v>11.8</v>
      </c>
      <c r="AK5" s="91"/>
      <c r="AL5" s="91">
        <v>11.1</v>
      </c>
      <c r="AM5" s="91">
        <v>12</v>
      </c>
      <c r="AN5" s="91">
        <v>12</v>
      </c>
      <c r="AO5" s="91">
        <v>11.7</v>
      </c>
      <c r="AP5" s="91">
        <v>11.4</v>
      </c>
      <c r="AQ5" s="91"/>
      <c r="AR5" s="91"/>
      <c r="AS5" s="91"/>
      <c r="AT5" s="91"/>
      <c r="AU5" s="91"/>
      <c r="AV5" s="91"/>
      <c r="AW5" s="91"/>
    </row>
    <row r="6" spans="1:49" ht="30.75" hidden="1" customHeight="1">
      <c r="A6" s="143" t="s">
        <v>53</v>
      </c>
      <c r="B6" s="91">
        <v>32.9</v>
      </c>
      <c r="C6" s="151"/>
      <c r="D6" s="151"/>
      <c r="E6" s="11"/>
      <c r="F6" s="91"/>
      <c r="G6" s="91"/>
      <c r="H6" s="91"/>
      <c r="I6" s="91"/>
      <c r="J6" s="91">
        <v>63.7</v>
      </c>
      <c r="K6" s="91"/>
      <c r="L6" s="91"/>
      <c r="M6" s="91"/>
      <c r="N6" s="91"/>
      <c r="O6" s="91"/>
      <c r="P6" s="91"/>
      <c r="Q6" s="91">
        <v>31</v>
      </c>
      <c r="R6" s="91"/>
      <c r="S6" s="91"/>
      <c r="T6" s="91"/>
      <c r="U6" s="91"/>
      <c r="V6" s="91"/>
      <c r="W6" s="91"/>
      <c r="X6" s="91">
        <v>33.299999999999997</v>
      </c>
      <c r="Y6" s="91"/>
      <c r="Z6" s="91"/>
      <c r="AA6" s="91"/>
      <c r="AB6" s="91"/>
      <c r="AC6" s="91"/>
      <c r="AD6" s="91"/>
      <c r="AE6" s="91">
        <v>32.799999999999997</v>
      </c>
      <c r="AF6" s="91"/>
      <c r="AG6" s="91"/>
      <c r="AH6" s="91"/>
      <c r="AI6" s="91"/>
      <c r="AJ6" s="91"/>
      <c r="AK6" s="91"/>
      <c r="AL6" s="91"/>
      <c r="AM6" s="91">
        <v>36.9</v>
      </c>
      <c r="AN6" s="91"/>
      <c r="AO6" s="91"/>
      <c r="AP6" s="91"/>
      <c r="AQ6" s="91"/>
      <c r="AR6" s="91"/>
      <c r="AS6" s="91">
        <v>36.299999999999997</v>
      </c>
      <c r="AU6" s="11"/>
    </row>
    <row r="7" spans="1:49" ht="30.75" hidden="1" customHeight="1">
      <c r="A7" s="143" t="s">
        <v>54</v>
      </c>
      <c r="B7" s="91">
        <v>9.3000000000000007</v>
      </c>
      <c r="C7" s="91"/>
      <c r="D7" s="151"/>
      <c r="E7" s="11"/>
      <c r="F7" s="91"/>
      <c r="G7" s="91"/>
      <c r="H7" s="91"/>
      <c r="I7" s="91"/>
      <c r="J7" s="91">
        <v>22.8</v>
      </c>
      <c r="K7" s="91"/>
      <c r="L7" s="91"/>
      <c r="M7" s="91"/>
      <c r="N7" s="91"/>
      <c r="O7" s="91"/>
      <c r="P7" s="91"/>
      <c r="Q7" s="91">
        <v>8.6999999999999993</v>
      </c>
      <c r="R7" s="91"/>
      <c r="S7" s="91"/>
      <c r="T7" s="91"/>
      <c r="U7" s="91"/>
      <c r="V7" s="91"/>
      <c r="W7" s="91"/>
      <c r="X7" s="91">
        <v>12.9</v>
      </c>
      <c r="Y7" s="91"/>
      <c r="Z7" s="91"/>
      <c r="AA7" s="91"/>
      <c r="AB7" s="91"/>
      <c r="AC7" s="91"/>
      <c r="AD7" s="91"/>
      <c r="AE7" s="91">
        <v>10.3</v>
      </c>
      <c r="AF7" s="91"/>
      <c r="AG7" s="91"/>
      <c r="AH7" s="91"/>
      <c r="AI7" s="91"/>
      <c r="AJ7" s="91"/>
      <c r="AK7" s="91"/>
      <c r="AL7" s="91"/>
      <c r="AM7" s="91">
        <v>12.8</v>
      </c>
      <c r="AN7" s="91"/>
      <c r="AO7" s="91"/>
      <c r="AP7" s="91"/>
      <c r="AQ7" s="91"/>
      <c r="AR7" s="91"/>
      <c r="AS7" s="91">
        <v>12</v>
      </c>
      <c r="AU7" s="11"/>
    </row>
    <row r="8" spans="1:49" ht="30.75" hidden="1" customHeight="1">
      <c r="A8" s="143" t="s">
        <v>55</v>
      </c>
      <c r="B8" s="91">
        <v>35.6</v>
      </c>
      <c r="C8" s="151"/>
      <c r="D8" s="151"/>
      <c r="E8" s="11"/>
      <c r="F8" s="91"/>
      <c r="G8" s="91"/>
      <c r="H8" s="91"/>
      <c r="I8" s="91"/>
      <c r="J8" s="91">
        <v>56.2</v>
      </c>
      <c r="K8" s="91"/>
      <c r="L8" s="91"/>
      <c r="M8" s="91"/>
      <c r="N8" s="91"/>
      <c r="O8" s="91"/>
      <c r="P8" s="91"/>
      <c r="Q8" s="91">
        <v>30.7</v>
      </c>
      <c r="R8" s="91"/>
      <c r="S8" s="91"/>
      <c r="T8" s="91"/>
      <c r="U8" s="91"/>
      <c r="V8" s="91"/>
      <c r="W8" s="91"/>
      <c r="X8" s="91">
        <v>34.9</v>
      </c>
      <c r="Y8" s="91"/>
      <c r="Z8" s="91"/>
      <c r="AA8" s="91"/>
      <c r="AB8" s="91"/>
      <c r="AC8" s="91"/>
      <c r="AD8" s="91"/>
      <c r="AE8" s="91">
        <v>35.299999999999997</v>
      </c>
      <c r="AF8" s="91"/>
      <c r="AG8" s="91"/>
      <c r="AH8" s="91"/>
      <c r="AI8" s="91"/>
      <c r="AJ8" s="91"/>
      <c r="AK8" s="91"/>
      <c r="AL8" s="91"/>
      <c r="AM8" s="91">
        <v>36</v>
      </c>
      <c r="AN8" s="91"/>
      <c r="AO8" s="91"/>
      <c r="AP8" s="91"/>
      <c r="AQ8" s="91"/>
      <c r="AR8" s="91"/>
      <c r="AS8" s="91">
        <v>36.4</v>
      </c>
      <c r="AU8" s="11"/>
    </row>
    <row r="9" spans="1:49" ht="30.75" hidden="1" customHeight="1">
      <c r="A9" s="143" t="s">
        <v>56</v>
      </c>
      <c r="B9" s="91">
        <v>9.3000000000000007</v>
      </c>
      <c r="C9" s="91"/>
      <c r="D9" s="151"/>
      <c r="E9" s="11"/>
      <c r="F9" s="91"/>
      <c r="G9" s="91"/>
      <c r="H9" s="91"/>
      <c r="I9" s="91"/>
      <c r="J9" s="91">
        <v>21.7</v>
      </c>
      <c r="K9" s="91"/>
      <c r="L9" s="91"/>
      <c r="M9" s="91"/>
      <c r="N9" s="91"/>
      <c r="O9" s="91"/>
      <c r="P9" s="91"/>
      <c r="Q9" s="91">
        <v>9.1</v>
      </c>
      <c r="R9" s="91"/>
      <c r="S9" s="91"/>
      <c r="T9" s="91"/>
      <c r="U9" s="91"/>
      <c r="V9" s="91"/>
      <c r="W9" s="91"/>
      <c r="X9" s="91">
        <v>13.2</v>
      </c>
      <c r="Y9" s="91"/>
      <c r="Z9" s="91"/>
      <c r="AA9" s="91"/>
      <c r="AB9" s="91"/>
      <c r="AC9" s="91"/>
      <c r="AD9" s="91"/>
      <c r="AE9" s="91">
        <v>10.3</v>
      </c>
      <c r="AF9" s="91"/>
      <c r="AG9" s="91"/>
      <c r="AH9" s="91"/>
      <c r="AI9" s="91"/>
      <c r="AJ9" s="91"/>
      <c r="AK9" s="91"/>
      <c r="AL9" s="91"/>
      <c r="AM9" s="91">
        <v>13</v>
      </c>
      <c r="AN9" s="91"/>
      <c r="AO9" s="91"/>
      <c r="AP9" s="91"/>
      <c r="AQ9" s="91"/>
      <c r="AR9" s="91"/>
      <c r="AS9" s="91">
        <v>12</v>
      </c>
      <c r="AU9" s="11"/>
    </row>
    <row r="10" spans="1:49" ht="30.75" hidden="1" customHeight="1">
      <c r="A10" s="143" t="s">
        <v>57</v>
      </c>
      <c r="B10" s="91">
        <v>35</v>
      </c>
      <c r="C10" s="151"/>
      <c r="D10" s="151"/>
      <c r="E10" s="11"/>
      <c r="F10" s="91"/>
      <c r="G10" s="91"/>
      <c r="H10" s="91"/>
      <c r="I10" s="91"/>
      <c r="J10" s="91">
        <v>59.1</v>
      </c>
      <c r="K10" s="91"/>
      <c r="L10" s="91"/>
      <c r="M10" s="91"/>
      <c r="N10" s="91"/>
      <c r="O10" s="91"/>
      <c r="P10" s="91"/>
      <c r="Q10" s="91">
        <v>29.5</v>
      </c>
      <c r="R10" s="91"/>
      <c r="S10" s="91"/>
      <c r="T10" s="91"/>
      <c r="U10" s="91"/>
      <c r="V10" s="91"/>
      <c r="W10" s="91"/>
      <c r="X10" s="91">
        <v>36.299999999999997</v>
      </c>
      <c r="Y10" s="91"/>
      <c r="Z10" s="91"/>
      <c r="AA10" s="91"/>
      <c r="AB10" s="91"/>
      <c r="AC10" s="91"/>
      <c r="AD10" s="91"/>
      <c r="AE10" s="91">
        <v>40.799999999999997</v>
      </c>
      <c r="AF10" s="91"/>
      <c r="AG10" s="91"/>
      <c r="AH10" s="91"/>
      <c r="AI10" s="91"/>
      <c r="AJ10" s="91"/>
      <c r="AK10" s="91"/>
      <c r="AL10" s="91"/>
      <c r="AM10" s="91">
        <v>36.4</v>
      </c>
      <c r="AN10" s="91"/>
      <c r="AO10" s="91"/>
      <c r="AP10" s="91"/>
      <c r="AQ10" s="91"/>
      <c r="AR10" s="91"/>
      <c r="AS10" s="91">
        <v>37.4</v>
      </c>
      <c r="AU10" s="11"/>
    </row>
    <row r="11" spans="1:49" ht="30.75" hidden="1" customHeight="1">
      <c r="A11" s="143" t="s">
        <v>58</v>
      </c>
      <c r="B11" s="91">
        <v>9.1999999999999993</v>
      </c>
      <c r="C11" s="91"/>
      <c r="D11" s="151"/>
      <c r="E11" s="11"/>
      <c r="F11" s="91"/>
      <c r="G11" s="91"/>
      <c r="H11" s="91"/>
      <c r="I11" s="91"/>
      <c r="J11" s="91">
        <v>20.7</v>
      </c>
      <c r="K11" s="91"/>
      <c r="L11" s="91"/>
      <c r="M11" s="91"/>
      <c r="N11" s="91"/>
      <c r="O11" s="91"/>
      <c r="P11" s="91"/>
      <c r="Q11" s="91">
        <v>8.3000000000000007</v>
      </c>
      <c r="R11" s="91"/>
      <c r="S11" s="91"/>
      <c r="T11" s="91"/>
      <c r="U11" s="91"/>
      <c r="V11" s="91"/>
      <c r="W11" s="91"/>
      <c r="X11" s="91">
        <v>13.2</v>
      </c>
      <c r="Y11" s="91"/>
      <c r="Z11" s="91"/>
      <c r="AA11" s="91"/>
      <c r="AB11" s="91"/>
      <c r="AC11" s="91"/>
      <c r="AD11" s="91"/>
      <c r="AE11" s="91">
        <v>10.1</v>
      </c>
      <c r="AF11" s="91"/>
      <c r="AG11" s="91"/>
      <c r="AH11" s="91"/>
      <c r="AI11" s="91"/>
      <c r="AJ11" s="91"/>
      <c r="AK11" s="91"/>
      <c r="AL11" s="91"/>
      <c r="AM11" s="91">
        <v>12.7</v>
      </c>
      <c r="AN11" s="91"/>
      <c r="AO11" s="91"/>
      <c r="AP11" s="91"/>
      <c r="AQ11" s="91"/>
      <c r="AR11" s="91"/>
      <c r="AS11" s="91">
        <v>11.7</v>
      </c>
      <c r="AU11" s="11"/>
    </row>
    <row r="12" spans="1:49" ht="30.75" hidden="1" customHeight="1">
      <c r="A12" s="143" t="s">
        <v>59</v>
      </c>
      <c r="B12" s="91">
        <v>36.5</v>
      </c>
      <c r="C12" s="151"/>
      <c r="D12" s="151"/>
      <c r="E12" s="11"/>
      <c r="F12" s="91"/>
      <c r="G12" s="91"/>
      <c r="H12" s="91"/>
      <c r="I12" s="91"/>
      <c r="J12" s="91">
        <v>57.8</v>
      </c>
      <c r="K12" s="91"/>
      <c r="L12" s="91"/>
      <c r="M12" s="91"/>
      <c r="N12" s="91"/>
      <c r="O12" s="91"/>
      <c r="P12" s="91"/>
      <c r="Q12" s="91">
        <v>28.6</v>
      </c>
      <c r="R12" s="91"/>
      <c r="S12" s="91"/>
      <c r="T12" s="91"/>
      <c r="U12" s="91"/>
      <c r="V12" s="91"/>
      <c r="W12" s="91"/>
      <c r="X12" s="91">
        <v>37</v>
      </c>
      <c r="Y12" s="91"/>
      <c r="Z12" s="91"/>
      <c r="AA12" s="91"/>
      <c r="AB12" s="91"/>
      <c r="AC12" s="91"/>
      <c r="AD12" s="91"/>
      <c r="AE12" s="91">
        <v>43.1</v>
      </c>
      <c r="AF12" s="91"/>
      <c r="AG12" s="91"/>
      <c r="AH12" s="91"/>
      <c r="AI12" s="91"/>
      <c r="AJ12" s="91"/>
      <c r="AK12" s="91"/>
      <c r="AL12" s="91"/>
      <c r="AM12" s="91">
        <v>35.700000000000003</v>
      </c>
      <c r="AN12" s="91"/>
      <c r="AO12" s="91"/>
      <c r="AP12" s="91"/>
      <c r="AQ12" s="91"/>
      <c r="AR12" s="91"/>
      <c r="AS12" s="91">
        <v>37.200000000000003</v>
      </c>
      <c r="AU12" s="11"/>
    </row>
    <row r="13" spans="1:49" hidden="1">
      <c r="A13" s="143" t="s">
        <v>60</v>
      </c>
      <c r="B13" s="91">
        <v>10</v>
      </c>
      <c r="D13" s="151"/>
      <c r="E13" s="11"/>
      <c r="F13" s="91"/>
      <c r="G13" s="91"/>
      <c r="H13" s="91"/>
      <c r="I13" s="91"/>
      <c r="J13" s="91">
        <v>17.3</v>
      </c>
      <c r="K13" s="91"/>
      <c r="L13" s="91"/>
      <c r="M13" s="91"/>
      <c r="N13" s="91"/>
      <c r="O13" s="91"/>
      <c r="P13" s="91"/>
      <c r="Q13" s="91">
        <v>8.1</v>
      </c>
      <c r="R13" s="91"/>
      <c r="S13" s="91"/>
      <c r="T13" s="91"/>
      <c r="U13" s="91"/>
      <c r="V13" s="91"/>
      <c r="W13" s="91"/>
      <c r="X13" s="91">
        <v>14.1</v>
      </c>
      <c r="Y13" s="91"/>
      <c r="Z13" s="91"/>
      <c r="AA13" s="91"/>
      <c r="AB13" s="91"/>
      <c r="AC13" s="91"/>
      <c r="AD13" s="91"/>
      <c r="AE13" s="91">
        <v>9.3000000000000007</v>
      </c>
      <c r="AF13" s="91"/>
      <c r="AG13" s="91"/>
      <c r="AH13" s="91"/>
      <c r="AI13" s="91"/>
      <c r="AJ13" s="91"/>
      <c r="AK13" s="91"/>
      <c r="AL13" s="91"/>
      <c r="AM13" s="91">
        <v>11.8</v>
      </c>
      <c r="AN13" s="91"/>
      <c r="AO13" s="91"/>
      <c r="AP13" s="91"/>
      <c r="AQ13" s="91"/>
      <c r="AR13" s="91"/>
      <c r="AS13" s="91">
        <v>11.4</v>
      </c>
      <c r="AU13" s="11"/>
    </row>
    <row r="14" spans="1:49" ht="39" customHeight="1"/>
    <row r="19" spans="1:58" s="3" customFormat="1" ht="27" customHeight="1">
      <c r="A19" s="5"/>
      <c r="B19" s="5"/>
      <c r="C19" s="5"/>
      <c r="D19" s="5"/>
      <c r="E19" s="5"/>
      <c r="F19" s="5"/>
      <c r="G19" s="5"/>
      <c r="H19" s="5"/>
      <c r="I19" s="5"/>
      <c r="J19" s="5"/>
      <c r="K19" s="5"/>
      <c r="L19" s="5"/>
      <c r="M19" s="5"/>
      <c r="N19" s="5"/>
      <c r="O19" s="5"/>
      <c r="P19" s="5"/>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5"/>
      <c r="AU19" s="151"/>
      <c r="AV19" s="151"/>
      <c r="AW19" s="151"/>
      <c r="AX19"/>
      <c r="AY19"/>
      <c r="AZ19"/>
      <c r="BA19"/>
      <c r="BB19"/>
      <c r="BC19"/>
      <c r="BD19"/>
      <c r="BE19"/>
      <c r="BF19"/>
    </row>
    <row r="20" spans="1:58" s="3" customFormat="1" ht="27" customHeight="1">
      <c r="A20" s="5"/>
      <c r="B20" s="5"/>
      <c r="C20" s="5"/>
      <c r="D20" s="5"/>
      <c r="E20" s="5"/>
      <c r="F20" s="5"/>
      <c r="G20" s="5"/>
      <c r="H20" s="5"/>
      <c r="I20" s="5"/>
      <c r="J20" s="5"/>
      <c r="K20" s="5"/>
      <c r="L20" s="5"/>
      <c r="M20" s="5"/>
      <c r="N20" s="5"/>
      <c r="O20" s="5"/>
      <c r="P20" s="5"/>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5"/>
      <c r="AU20" s="151"/>
      <c r="AV20" s="151"/>
      <c r="AW20" s="151"/>
      <c r="AX20"/>
      <c r="AY20"/>
      <c r="AZ20"/>
      <c r="BA20"/>
      <c r="BB20"/>
      <c r="BC20"/>
      <c r="BD20"/>
      <c r="BE20"/>
      <c r="BF20"/>
    </row>
    <row r="21" spans="1:58" s="3" customFormat="1" ht="27" customHeight="1">
      <c r="A21" s="5"/>
      <c r="B21" s="5"/>
      <c r="C21" s="5"/>
      <c r="D21" s="5"/>
      <c r="E21" s="5"/>
      <c r="F21" s="5"/>
      <c r="G21" s="5"/>
      <c r="H21" s="5"/>
      <c r="I21" s="5"/>
      <c r="J21" s="5"/>
      <c r="K21" s="5"/>
      <c r="L21" s="5"/>
      <c r="M21" s="5"/>
      <c r="N21" s="5"/>
      <c r="O21" s="5"/>
      <c r="P21" s="5"/>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5"/>
      <c r="AU21" s="151"/>
      <c r="AV21" s="151"/>
      <c r="AW21" s="151"/>
      <c r="AX21"/>
      <c r="AY21"/>
      <c r="AZ21"/>
      <c r="BA21"/>
      <c r="BB21"/>
      <c r="BC21"/>
      <c r="BD21"/>
      <c r="BE21"/>
      <c r="BF21"/>
    </row>
    <row r="22" spans="1:58" s="3" customFormat="1" ht="7.5" customHeight="1">
      <c r="A22" s="5"/>
      <c r="B22" s="5"/>
      <c r="C22" s="5"/>
      <c r="D22" s="5"/>
      <c r="E22" s="5"/>
      <c r="F22" s="5"/>
      <c r="G22" s="5"/>
      <c r="H22" s="5"/>
      <c r="I22" s="5"/>
      <c r="J22" s="5"/>
      <c r="K22" s="5"/>
      <c r="L22" s="5"/>
      <c r="M22" s="5"/>
      <c r="N22" s="5"/>
      <c r="O22" s="5"/>
      <c r="P22" s="5"/>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5"/>
      <c r="AU22" s="151"/>
      <c r="AV22" s="151"/>
      <c r="AW22" s="151"/>
      <c r="AX22"/>
      <c r="AY22"/>
      <c r="AZ22"/>
      <c r="BA22"/>
      <c r="BB22"/>
      <c r="BC22"/>
      <c r="BD22"/>
      <c r="BE22"/>
      <c r="BF22"/>
    </row>
    <row r="23" spans="1:58" s="3" customFormat="1" ht="7.5" customHeight="1">
      <c r="A23" s="5"/>
      <c r="B23" s="5"/>
      <c r="C23" s="5"/>
      <c r="D23" s="5"/>
      <c r="E23" s="5"/>
      <c r="F23" s="5"/>
      <c r="G23" s="5"/>
      <c r="H23" s="5"/>
      <c r="I23" s="5"/>
      <c r="J23" s="5"/>
      <c r="K23" s="5"/>
      <c r="L23" s="5"/>
      <c r="M23" s="5"/>
      <c r="N23" s="5"/>
      <c r="O23" s="5"/>
      <c r="P23" s="5"/>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5"/>
      <c r="AU23" s="151"/>
      <c r="AV23" s="151"/>
      <c r="AW23" s="151"/>
      <c r="AX23"/>
      <c r="AY23"/>
      <c r="AZ23"/>
      <c r="BA23"/>
      <c r="BB23"/>
      <c r="BC23"/>
      <c r="BD23"/>
      <c r="BE23"/>
      <c r="BF23"/>
    </row>
    <row r="24" spans="1:58" s="3" customFormat="1" ht="27" customHeight="1">
      <c r="A24" s="5"/>
      <c r="B24" s="5"/>
      <c r="C24" s="5"/>
      <c r="D24" s="5"/>
      <c r="E24" s="5"/>
      <c r="F24" s="5"/>
      <c r="G24" s="5"/>
      <c r="H24" s="5"/>
      <c r="I24" s="5"/>
      <c r="J24" s="5"/>
      <c r="K24" s="5"/>
      <c r="L24" s="5"/>
      <c r="M24" s="5"/>
      <c r="N24" s="5"/>
      <c r="O24" s="5"/>
      <c r="P24" s="5"/>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5"/>
      <c r="AU24" s="151"/>
      <c r="AV24" s="151"/>
      <c r="AW24" s="151"/>
      <c r="AX24"/>
      <c r="AY24"/>
      <c r="AZ24"/>
      <c r="BA24"/>
      <c r="BB24"/>
      <c r="BC24"/>
      <c r="BD24"/>
      <c r="BE24"/>
      <c r="BF24"/>
    </row>
  </sheetData>
  <mergeCells count="7">
    <mergeCell ref="AF2:AJ2"/>
    <mergeCell ref="AL2:AP2"/>
    <mergeCell ref="B2:F2"/>
    <mergeCell ref="H2:L2"/>
    <mergeCell ref="N2:R2"/>
    <mergeCell ref="T2:X2"/>
    <mergeCell ref="Z2:AD2"/>
  </mergeCells>
  <pageMargins left="0.5" right="0.5" top="0.34" bottom="0.5" header="0.3" footer="0.3"/>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Average Section Size </vt:lpstr>
      <vt:lpstr>Ave Section Calc </vt:lpstr>
      <vt:lpstr>Data for UG graph</vt:lpstr>
      <vt:lpstr>Data for Grad Graph</vt:lpstr>
      <vt:lpstr>Keep1</vt:lpstr>
      <vt:lpstr>Keep2</vt:lpstr>
      <vt:lpstr>Keep3</vt:lpstr>
      <vt:lpstr>'Ave Section Calc '!Print_Area</vt:lpstr>
      <vt:lpstr>'Average Section Size '!Print_Area</vt:lpstr>
      <vt:lpstr>'Data for UG graph'!Print_Area</vt:lpstr>
      <vt:lpstr>Keep1!Print_Area</vt:lpstr>
      <vt:lpstr>Keep2!Print_Area</vt:lpstr>
      <vt:lpstr>Keep3!Print_Area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Dobbe, Nadine K [I RES]</dc:creator>
  <cp:lastModifiedBy>Andringa, Chris [I RES]</cp:lastModifiedBy>
  <cp:lastPrinted>2025-01-08T23:22:53Z</cp:lastPrinted>
  <dcterms:created xsi:type="dcterms:W3CDTF">1999-06-23T16:04:43Z</dcterms:created>
  <dcterms:modified xsi:type="dcterms:W3CDTF">2025-04-11T13:52:45Z</dcterms:modified>
</cp:coreProperties>
</file>